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_rels/sheet2.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sharedStrings.xml" ContentType="application/vnd.openxmlformats-officedocument.spreadsheetml.sharedStrings+xml"/>
  <Override PartName="/xl/comments2.xml" ContentType="application/vnd.openxmlformats-officedocument.spreadsheetml.comments+xml"/>
  <Override PartName="/xl/drawings/vmlDrawing1.vml" ContentType="application/vnd.openxmlformats-officedocument.vmlDrawin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workbookPassword="9ABC" lockStructure="1"/>
  <bookViews>
    <workbookView showHorizontalScroll="true" showVerticalScroll="true" showSheetTabs="true" xWindow="0" yWindow="0" windowWidth="16384" windowHeight="8192" tabRatio="500" firstSheet="0" activeTab="0"/>
  </bookViews>
  <sheets>
    <sheet name="عن الأداة" sheetId="1" state="visible" r:id="rId3"/>
    <sheet name="تقييم مشروع" sheetId="2" state="visible" r:id="rId4"/>
    <sheet name="مقارنة مشروعين" sheetId="3" state="visible" r:id="rId5"/>
    <sheet name="تكلفة رأس المال" sheetId="4" state="visible" r:id="rId6"/>
    <sheet name="جدول سداد التمويل" sheetId="5" state="visible" r:id="rId7"/>
    <sheet name="القيمة الزمنية للنقود" sheetId="6" state="visible" r:id="rId8"/>
  </sheets>
  <calcPr iterateCount="100" refMode="A1" iterate="false" iterateDelta="0.0001"/>
  <extLst>
    <ext xmlns:loext="http://schemas.libreoffice.org/" uri="{7626C862-2A13-11E5-B345-FEFF819CDC9F}">
      <loext:extCalcPr stringRefSyntax="ExcelA1"/>
    </ext>
  </extLst>
</workbook>
</file>

<file path=xl/comments2.xml><?xml version="1.0" encoding="utf-8"?>
<comments xmlns="http://schemas.openxmlformats.org/spreadsheetml/2006/main" xmlns:xdr="http://schemas.openxmlformats.org/drawingml/2006/spreadsheetDrawing">
  <authors>
    <author>Unknown Author</author>
  </authors>
  <commentList>
    <comment ref="B6" authorId="0">
      <text>
        <r>
          <rPr>
            <sz val="10"/>
            <rFont val="FreeSans"/>
            <family val="2"/>
          </rPr>
          <t xml:space="preserve">العائد الأدنى المطلوب أو تكلفة رأس المال</t>
        </r>
      </text>
    </comment>
    <comment ref="B7" authorId="0">
      <text>
        <r>
          <rPr>
            <sz val="10"/>
            <rFont val="FreeSans"/>
            <family val="2"/>
          </rPr>
          <t xml:space="preserve">يُستخدم في معدل العائد الداخلي المعدل</t>
        </r>
      </text>
    </comment>
  </commentList>
</comments>
</file>

<file path=xl/sharedStrings.xml><?xml version="1.0" encoding="utf-8"?>
<sst xmlns="http://schemas.openxmlformats.org/spreadsheetml/2006/main" count="161" uniqueCount="131">
  <si>
    <t xml:space="preserve">حاسبة تقييم المشاريع الاستثمارية</t>
  </si>
  <si>
    <t xml:space="preserve">© شركة جوجان لخدمات الأعمال – googanconsult.com – موسوعة جوجان bloggoogan.com</t>
  </si>
  <si>
    <t xml:space="preserve">أداة مجانية من جوجان لتقييم أي مشروع أو استثمار من تدفقاته النقدية: صافي القيمة الحالية، ومعدل العائد الداخلي، ومعدل العائد الداخلي المعدل، ومؤشر الربحية، وفترة الاسترداد العادية والمخصومة، مع تحليل حساسية، ومقارنة بين مشروعين، وحساب تكلفة رأس المال، وجدول سداد التمويل، وحاسبات القيمة الزمنية للنقود.</t>
  </si>
  <si>
    <t xml:space="preserve">طريقة الاستخدام</t>
  </si>
  <si>
    <t xml:space="preserve">1. في ورقة «تقييم مشروع» اكتب اسم المشروع، ومعدل الخصم (العائد الذي تطلبه أو تكلفة التمويل)، وعمر المشروع بالسنوات (حتى 15 سنة).</t>
  </si>
  <si>
    <t xml:space="preserve">2. أدخل مبلغ الاستثمار الأولي، ثم التدفقات الداخلة (الإيرادات) والخارجة (التكاليف التشغيلية) لكل سنة، والقيمة المتبقية للأصول في آخر سنة إن وجدت.</t>
  </si>
  <si>
    <t xml:space="preserve">3. اقرأ النتائج في أعلى الورقة: المشروع مقبول مالياً عندما يكون صافي القيمة الحالية موجباً ومعدل العائد الداخلي أعلى من معدل الخصم.</t>
  </si>
  <si>
    <t xml:space="preserve">4. راجع جدول الحساسية لترى أثر انخفاض الإيرادات أو ارتفاع التكاليف أو تغير معدل الخصم على النتيجة.</t>
  </si>
  <si>
    <t xml:space="preserve">5. لاختيار أحد مشروعين استخدم ورقة «مقارنة مشروعين». ولتحديد معدل الخصم المناسب استخدم ورقة «تكلفة رأس المال».</t>
  </si>
  <si>
    <t xml:space="preserve">6. ورقة «جدول سداد التمويل» تحسب القسط الدوري وتوزيعه بين الأصل والعائد، وورقة «القيمة الزمنية للنقود» فيها خمس حاسبات سريعة.</t>
  </si>
  <si>
    <t xml:space="preserve">ملاحظات مهمة</t>
  </si>
  <si>
    <t xml:space="preserve">• الأرقام الموجودة مثال توضيحي لمشروع افتراضي، فاستبدلها بأرقام مشروعك.</t>
  </si>
  <si>
    <t xml:space="preserve">• التدفقات تُفترض في نهاية كل سنة، والاستثمار الأولي في بداية المشروع (السنة صفر).</t>
  </si>
  <si>
    <t xml:space="preserve">• استخدم التدفقات النقدية لا الأرباح المحاسبية: لا تطرح الإهلاك، واطرح الزكاة أو الضريبة المدفوعة فعلاً ضمن التدفقات الخارجة.</t>
  </si>
  <si>
    <t xml:space="preserve">• عند المفاضلة بين مشروعين متعارضين يُعتمد صافي القيمة الحالية، لأن معدل العائد الداخلي قد يعطي ترتيباً مضللاً عند اختلاف الحجم أو التوقيت.</t>
  </si>
  <si>
    <t xml:space="preserve">عن جوجان</t>
  </si>
  <si>
    <t xml:space="preserve">أعدّ هذه الأداة قسم الدراسات والاستشارات في شركة جوجان لخدمات الأعمال بالرياض.</t>
  </si>
  <si>
    <t xml:space="preserve">دراسات الجدوى والاستشارات المالية والإدارية: googanconsult.com</t>
  </si>
  <si>
    <t xml:space="preserve">الترجمة المعتمدة للقوائم المالية والتقارير والعقود: googantranslation.com</t>
  </si>
  <si>
    <t xml:space="preserve">شرح الأداة وأدوات مالية مجانية أخرى في موسوعة جوجان: bloggoogan.com</t>
  </si>
  <si>
    <t xml:space="preserve">هذه الأداة مجانية للاستخدام الشخصي والتعليمي وفي مشاريعكم، وحقوقها محفوظة لشركة جوجان لخدمات الأعمال، ويُمنع بيعها أو نسبتها إلى غيرها. لدراسة جدوى أو تحليل مالي معدّ باحتراف: googanconsult.com</t>
  </si>
  <si>
    <t xml:space="preserve">تقييم مشروع استثماري</t>
  </si>
  <si>
    <t xml:space="preserve">الخلايا الصفراء بخط أزرق للإدخال، وبقية الخلايا محسوبة تلقائياً ومقفلة.</t>
  </si>
  <si>
    <t xml:space="preserve">المدخلات الأساسية</t>
  </si>
  <si>
    <t xml:space="preserve">النتائج</t>
  </si>
  <si>
    <t xml:space="preserve">اسم المشروع</t>
  </si>
  <si>
    <t xml:space="preserve">مشروع توسعة خط إنتاج</t>
  </si>
  <si>
    <t xml:space="preserve">صافي القيمة الحالية</t>
  </si>
  <si>
    <t xml:space="preserve">معدل الخصم السنوي</t>
  </si>
  <si>
    <t xml:space="preserve">معدل العائد الداخلي</t>
  </si>
  <si>
    <t xml:space="preserve">معدل إعادة استثمار التدفقات</t>
  </si>
  <si>
    <t xml:space="preserve">معدل العائد الداخلي المعدل</t>
  </si>
  <si>
    <t xml:space="preserve">عمر المشروع (سنوات، حتى 15)</t>
  </si>
  <si>
    <t xml:space="preserve">مؤشر الربحية</t>
  </si>
  <si>
    <t xml:space="preserve">الاستثمار الأولي (السنة صفر)</t>
  </si>
  <si>
    <t xml:space="preserve">فترة الاسترداد</t>
  </si>
  <si>
    <t xml:space="preserve">القيمة المتبقية للأصول في آخر سنة</t>
  </si>
  <si>
    <t xml:space="preserve">فترة الاسترداد المخصومة</t>
  </si>
  <si>
    <t xml:space="preserve">السنة</t>
  </si>
  <si>
    <t xml:space="preserve">التدفقات الداخلة</t>
  </si>
  <si>
    <t xml:space="preserve">التدفقات الخارجة</t>
  </si>
  <si>
    <t xml:space="preserve">صافي التدفق</t>
  </si>
  <si>
    <t xml:space="preserve">معامل الخصم</t>
  </si>
  <si>
    <t xml:space="preserve">التدفق المخصوم</t>
  </si>
  <si>
    <t xml:space="preserve">التراكمي</t>
  </si>
  <si>
    <t xml:space="preserve">التراكمي المخصوم</t>
  </si>
  <si>
    <t xml:space="preserve">تحليل الحساسية: صافي القيمة الحالية عند تغير الإيرادات والتكاليف</t>
  </si>
  <si>
    <t xml:space="preserve">التغير في الإيرادات ←</t>
  </si>
  <si>
    <t xml:space="preserve">صافي القيمة الحالية عند معدلات خصم مختلفة</t>
  </si>
  <si>
    <t xml:space="preserve">معدل الخصم</t>
  </si>
  <si>
    <t xml:space="preserve">المفاضلة بين مشروعين</t>
  </si>
  <si>
    <t xml:space="preserve">أدخل التدفقات الصافية لكل مشروع (السالب للاستثمار في السنة صفر).</t>
  </si>
  <si>
    <t xml:space="preserve">المشروع (أ)</t>
  </si>
  <si>
    <t xml:space="preserve">المشروع (ب)</t>
  </si>
  <si>
    <t xml:space="preserve">المؤشر</t>
  </si>
  <si>
    <t xml:space="preserve">الأفضل</t>
  </si>
  <si>
    <t xml:space="preserve">صافي القيمة الحالية (أ)</t>
  </si>
  <si>
    <t xml:space="preserve">صافي القيمة الحالية (ب)</t>
  </si>
  <si>
    <t xml:space="preserve">معدل العائد الداخلي (أ)</t>
  </si>
  <si>
    <t xml:space="preserve">معدل العائد الداخلي (ب)</t>
  </si>
  <si>
    <t xml:space="preserve">مؤشر الربحية (أ)</t>
  </si>
  <si>
    <t xml:space="preserve">مؤشر الربحية (ب)</t>
  </si>
  <si>
    <t xml:space="preserve">فترة الاسترداد (أ)</t>
  </si>
  <si>
    <t xml:space="preserve">فترة الاسترداد (ب)</t>
  </si>
  <si>
    <t xml:space="preserve">تكلفة رأس المال (المتوسط المرجح)</t>
  </si>
  <si>
    <t xml:space="preserve">تساعدك على تحديد معدل الخصم المناسب لمشروعك.</t>
  </si>
  <si>
    <t xml:space="preserve">هيكل التمويل</t>
  </si>
  <si>
    <t xml:space="preserve">قيمة التمويل بحقوق الملكية</t>
  </si>
  <si>
    <t xml:space="preserve">القيمة السوقية للأسهم أو رأس المال المستثمر</t>
  </si>
  <si>
    <t xml:space="preserve">قيمة التمويل بالقروض</t>
  </si>
  <si>
    <t xml:space="preserve">القروض البنكية والتمويل طويل الأجل</t>
  </si>
  <si>
    <t xml:space="preserve">تكلفة التمويل بالقروض</t>
  </si>
  <si>
    <t xml:space="preserve">معدل العائد على القروض قبل الضريبة</t>
  </si>
  <si>
    <t xml:space="preserve">سعر الفائدة أو هامش الربح الفعلي على التمويل</t>
  </si>
  <si>
    <t xml:space="preserve">نسبة الضريبة الفعلية على الدخل</t>
  </si>
  <si>
    <t xml:space="preserve">ضريبة الدخل في السعودية 20% على حصة غير السعودي؛ والمنشأة الخاضعة للزكاة فقط لا تحصل على الوفر الضريبي نفسه، فاكتب صفراً أو النسبة المناسبة</t>
  </si>
  <si>
    <t xml:space="preserve">تكلفة حقوق الملكية – الطريقة الأولى: نموذج تسعير الأصول الرأسمالية</t>
  </si>
  <si>
    <t xml:space="preserve">العائد الخالي من المخاطر</t>
  </si>
  <si>
    <t xml:space="preserve">مثل عائد الصكوك الحكومية طويلة الأجل</t>
  </si>
  <si>
    <t xml:space="preserve">معامل بيتا</t>
  </si>
  <si>
    <t xml:space="preserve">حساسية السهم أو القطاع لحركة السوق</t>
  </si>
  <si>
    <t xml:space="preserve">العائد المتوقع للسوق</t>
  </si>
  <si>
    <t xml:space="preserve">تكلفة حقوق الملكية – الطريقة الثانية: نموذج نمو التوزيعات</t>
  </si>
  <si>
    <t xml:space="preserve">التوزيع المتوقع للسهم العام القادم</t>
  </si>
  <si>
    <t xml:space="preserve">سعر السهم الحالي</t>
  </si>
  <si>
    <t xml:space="preserve">معدل النمو السنوي للتوزيعات</t>
  </si>
  <si>
    <t xml:space="preserve">الاختيار</t>
  </si>
  <si>
    <t xml:space="preserve">الطريقة المعتمدة (1 أو 2)</t>
  </si>
  <si>
    <t xml:space="preserve">1 = نموذج تسعير الأصول الرأسمالية، 2 = نموذج نمو التوزيعات</t>
  </si>
  <si>
    <t xml:space="preserve">الوزن النسبي لحقوق الملكية</t>
  </si>
  <si>
    <t xml:space="preserve">الوزن النسبي للقروض</t>
  </si>
  <si>
    <t xml:space="preserve">تكلفة القروض بعد الضريبة</t>
  </si>
  <si>
    <t xml:space="preserve">تكلفة حقوق الملكية – الطريقة الأولى</t>
  </si>
  <si>
    <t xml:space="preserve">تكلفة حقوق الملكية – الطريقة الثانية</t>
  </si>
  <si>
    <t xml:space="preserve">تكلفة رأس المال المرجحة (معدل الخصم المقترح)</t>
  </si>
  <si>
    <t xml:space="preserve">يمكن إضافة علاوة مخاطر للمشاريع الجديدة أو الأعلى مخاطرة من نشاط الشركة المعتاد قبل استخدام النسبة معدلاً للخصم.</t>
  </si>
  <si>
    <t xml:space="preserve">جدول سداد التمويل بأقساط متساوية</t>
  </si>
  <si>
    <t xml:space="preserve">مبلغ التمويل</t>
  </si>
  <si>
    <t xml:space="preserve">القسط الدوري</t>
  </si>
  <si>
    <t xml:space="preserve">المعدل السنوي (فائدة أو هامش ربح ثابت)</t>
  </si>
  <si>
    <t xml:space="preserve">عدد الأقساط</t>
  </si>
  <si>
    <t xml:space="preserve">مدة السداد بالسنوات</t>
  </si>
  <si>
    <t xml:space="preserve">إجمالي المدفوع</t>
  </si>
  <si>
    <t xml:space="preserve">عدد الأقساط في السنة</t>
  </si>
  <si>
    <t xml:space="preserve">إجمالي العائد أو الفائدة</t>
  </si>
  <si>
    <t xml:space="preserve">تاريخ أول قسط</t>
  </si>
  <si>
    <t xml:space="preserve">يصلح الجدول لتقدير أقساط القروض وتمويلات المرابحة بهامش ربح ثابت ودفعات متساوية، والمرجع النهائي هو عقد التمويل وجدوله الصادر من الجهة الممولة.</t>
  </si>
  <si>
    <t xml:space="preserve">رقم القسط</t>
  </si>
  <si>
    <t xml:space="preserve">تاريخ الاستحقاق</t>
  </si>
  <si>
    <t xml:space="preserve">القسط</t>
  </si>
  <si>
    <t xml:space="preserve">منه أصل المبلغ</t>
  </si>
  <si>
    <t xml:space="preserve">منه العائد أو الفائدة</t>
  </si>
  <si>
    <t xml:space="preserve">الرصيد المتبقي</t>
  </si>
  <si>
    <t xml:space="preserve">حاسبات القيمة الزمنية للنقود</t>
  </si>
  <si>
    <t xml:space="preserve">القيمة الحالية لمبلغ مستقبلي</t>
  </si>
  <si>
    <t xml:space="preserve">القيمة المستقبلية لمبلغ حالي</t>
  </si>
  <si>
    <t xml:space="preserve">المبلغ المستقبلي</t>
  </si>
  <si>
    <t xml:space="preserve">المبلغ الحالي</t>
  </si>
  <si>
    <t xml:space="preserve">المعدل السنوي</t>
  </si>
  <si>
    <t xml:space="preserve">عدد السنوات</t>
  </si>
  <si>
    <t xml:space="preserve">القيمة الحالية</t>
  </si>
  <si>
    <t xml:space="preserve">القيمة المستقبلية</t>
  </si>
  <si>
    <t xml:space="preserve">القيمة الحالية لدفعات سنوية متساوية</t>
  </si>
  <si>
    <t xml:space="preserve">القيمة المستقبلية لدفعات سنوية متساوية</t>
  </si>
  <si>
    <t xml:space="preserve">الدفعة السنوية</t>
  </si>
  <si>
    <t xml:space="preserve">القيمة الحالية للدفعات</t>
  </si>
  <si>
    <t xml:space="preserve">القيمة المستقبلية للدفعات</t>
  </si>
  <si>
    <t xml:space="preserve">الادخار الشهري اللازم لبلوغ مبلغ مستهدف</t>
  </si>
  <si>
    <t xml:space="preserve">المبلغ المستهدف</t>
  </si>
  <si>
    <t xml:space="preserve">العائد السنوي المتوقع</t>
  </si>
  <si>
    <t xml:space="preserve">الادخار الشهري المطلوب</t>
  </si>
</sst>
</file>

<file path=xl/styles.xml><?xml version="1.0" encoding="utf-8"?>
<styleSheet xmlns="http://schemas.openxmlformats.org/spreadsheetml/2006/main">
  <numFmts count="14">
    <numFmt numFmtId="164" formatCode="General"/>
    <numFmt numFmtId="165" formatCode="@"/>
    <numFmt numFmtId="166" formatCode="#,##0;\(#,##0\);\-"/>
    <numFmt numFmtId="167" formatCode="0.0%;\(0.0%\);\-"/>
    <numFmt numFmtId="168" formatCode="0"/>
    <numFmt numFmtId="169" formatCode="0.00"/>
    <numFmt numFmtId="170" formatCode="0.0&quot; سنة&quot;;\(0.0&quot; سنة)&quot;;\-"/>
    <numFmt numFmtId="171" formatCode="0.0000"/>
    <numFmt numFmtId="172" formatCode="General"/>
    <numFmt numFmtId="173" formatCode="\+0%;\-0%;0%"/>
    <numFmt numFmtId="174" formatCode="&quot;تغير التكاليف +&quot;0%;&quot;تغير التكاليف -&quot;0%;&quot;التكاليف دون تغيير&quot;"/>
    <numFmt numFmtId="175" formatCode="#,##0.00;\(#,##0.00\);\-"/>
    <numFmt numFmtId="176" formatCode="0.00%"/>
    <numFmt numFmtId="177" formatCode="yyyy/mm/dd"/>
  </numFmts>
  <fonts count="18">
    <font>
      <sz val="11"/>
      <color theme="1"/>
      <name val="Calibri"/>
      <family val="2"/>
      <charset val="1"/>
    </font>
    <font>
      <sz val="10"/>
      <name val="Arial"/>
      <family val="0"/>
    </font>
    <font>
      <sz val="10"/>
      <name val="Arial"/>
      <family val="0"/>
    </font>
    <font>
      <sz val="10"/>
      <name val="Arial"/>
      <family val="0"/>
    </font>
    <font>
      <b val="true"/>
      <sz val="16"/>
      <color rgb="FFFFFFFF"/>
      <name val="Arial"/>
      <family val="0"/>
      <charset val="1"/>
    </font>
    <font>
      <b val="true"/>
      <sz val="9"/>
      <color rgb="FF1C1B42"/>
      <name val="Arial"/>
      <family val="0"/>
      <charset val="1"/>
    </font>
    <font>
      <sz val="11"/>
      <color rgb="FF222222"/>
      <name val="Arial"/>
      <family val="0"/>
      <charset val="1"/>
    </font>
    <font>
      <b val="true"/>
      <sz val="11"/>
      <color rgb="FF1C1B42"/>
      <name val="Arial"/>
      <family val="0"/>
      <charset val="1"/>
    </font>
    <font>
      <sz val="10"/>
      <color rgb="FF222222"/>
      <name val="Arial"/>
      <family val="0"/>
      <charset val="1"/>
    </font>
    <font>
      <b val="true"/>
      <sz val="10"/>
      <color rgb="FF1C1B42"/>
      <name val="Arial"/>
      <family val="0"/>
      <charset val="1"/>
    </font>
    <font>
      <sz val="8"/>
      <color rgb="FF666666"/>
      <name val="Arial"/>
      <family val="0"/>
      <charset val="1"/>
    </font>
    <font>
      <sz val="9"/>
      <color rgb="FF0000FF"/>
      <name val="Arial"/>
      <family val="0"/>
      <charset val="1"/>
    </font>
    <font>
      <sz val="10"/>
      <color rgb="FF0000FF"/>
      <name val="Arial"/>
      <family val="0"/>
      <charset val="1"/>
    </font>
    <font>
      <b val="true"/>
      <sz val="10"/>
      <color rgb="FF222222"/>
      <name val="Arial"/>
      <family val="0"/>
      <charset val="1"/>
    </font>
    <font>
      <b val="true"/>
      <sz val="10"/>
      <color rgb="FFFFFFFF"/>
      <name val="Arial"/>
      <family val="0"/>
      <charset val="1"/>
    </font>
    <font>
      <sz val="10"/>
      <name val="FreeSans"/>
      <family val="2"/>
    </font>
    <font>
      <i val="true"/>
      <sz val="10"/>
      <color rgb="FF555555"/>
      <name val="Arial"/>
      <family val="0"/>
      <charset val="1"/>
    </font>
    <font>
      <sz val="9"/>
      <color rgb="FF666666"/>
      <name val="Arial"/>
      <family val="0"/>
      <charset val="1"/>
    </font>
  </fonts>
  <fills count="7">
    <fill>
      <patternFill patternType="none"/>
    </fill>
    <fill>
      <patternFill patternType="gray125"/>
    </fill>
    <fill>
      <patternFill patternType="solid">
        <fgColor rgb="FF1C1B42"/>
        <bgColor rgb="FF222222"/>
      </patternFill>
    </fill>
    <fill>
      <patternFill patternType="solid">
        <fgColor rgb="FFF2B632"/>
        <bgColor rgb="FFFF9900"/>
      </patternFill>
    </fill>
    <fill>
      <patternFill patternType="solid">
        <fgColor rgb="FFE4E2F2"/>
        <bgColor rgb="FFEEF1F8"/>
      </patternFill>
    </fill>
    <fill>
      <patternFill patternType="solid">
        <fgColor rgb="FFFFF4CC"/>
        <bgColor rgb="FFEEF1F8"/>
      </patternFill>
    </fill>
    <fill>
      <patternFill patternType="solid">
        <fgColor rgb="FFEEF1F8"/>
        <bgColor rgb="FFE4E2F2"/>
      </patternFill>
    </fill>
  </fills>
  <borders count="4">
    <border diagonalUp="false" diagonalDown="false">
      <left/>
      <right/>
      <top/>
      <bottom/>
      <diagonal/>
    </border>
    <border diagonalUp="false" diagonalDown="false">
      <left style="thin">
        <color rgb="FFC9CBD6"/>
      </left>
      <right style="thin">
        <color rgb="FFC9CBD6"/>
      </right>
      <top style="thin">
        <color rgb="FFC9CBD6"/>
      </top>
      <bottom style="thin">
        <color rgb="FFC9CBD6"/>
      </bottom>
      <diagonal/>
    </border>
    <border diagonalUp="false" diagonalDown="false">
      <left style="thin">
        <color rgb="FFC9CBD6"/>
      </left>
      <right/>
      <top style="thin">
        <color rgb="FFC9CBD6"/>
      </top>
      <bottom style="thin">
        <color rgb="FFC9CBD6"/>
      </bottom>
      <diagonal/>
    </border>
    <border diagonalUp="false" diagonalDown="false">
      <left style="thin">
        <color rgb="FFC9CBD6"/>
      </left>
      <right/>
      <top style="thin">
        <color rgb="FFC9CBD6"/>
      </top>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45">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0" xfId="0" applyFont="true" applyBorder="true" applyAlignment="true" applyProtection="false">
      <alignment horizontal="center" vertical="center" textRotation="0" wrapText="true" indent="0" shrinkToFit="false" readingOrder="2"/>
      <protection locked="true" hidden="false"/>
    </xf>
    <xf numFmtId="164" fontId="5" fillId="3" borderId="0" xfId="0" applyFont="true" applyBorder="true" applyAlignment="true" applyProtection="false">
      <alignment horizontal="center" vertical="center" textRotation="0" wrapText="true" indent="0" shrinkToFit="false" readingOrder="2"/>
      <protection locked="true" hidden="false"/>
    </xf>
    <xf numFmtId="164" fontId="6" fillId="0" borderId="0" xfId="0" applyFont="true" applyBorder="false" applyAlignment="true" applyProtection="false">
      <alignment horizontal="right" vertical="center" textRotation="0" wrapText="true" indent="0" shrinkToFit="false" readingOrder="2"/>
      <protection locked="true" hidden="false"/>
    </xf>
    <xf numFmtId="164" fontId="7" fillId="4" borderId="0" xfId="0" applyFont="true" applyBorder="false" applyAlignment="true" applyProtection="false">
      <alignment horizontal="right" vertical="center" textRotation="0" wrapText="true" indent="0" shrinkToFit="false" readingOrder="2"/>
      <protection locked="true" hidden="false"/>
    </xf>
    <xf numFmtId="164" fontId="8" fillId="0" borderId="0" xfId="0" applyFont="true" applyBorder="false" applyAlignment="true" applyProtection="false">
      <alignment horizontal="right" vertical="center" textRotation="0" wrapText="true" indent="0" shrinkToFit="false" readingOrder="2"/>
      <protection locked="true" hidden="false"/>
    </xf>
    <xf numFmtId="164" fontId="9" fillId="0" borderId="0" xfId="0" applyFont="true" applyBorder="false" applyAlignment="true" applyProtection="false">
      <alignment horizontal="right" vertical="center" textRotation="0" wrapText="true" indent="0" shrinkToFit="false" readingOrder="2"/>
      <protection locked="true" hidden="false"/>
    </xf>
    <xf numFmtId="164" fontId="10" fillId="0" borderId="0" xfId="0" applyFont="true" applyBorder="true" applyAlignment="true" applyProtection="false">
      <alignment horizontal="right" vertical="center" textRotation="0" wrapText="true" indent="0" shrinkToFit="false" readingOrder="2"/>
      <protection locked="true" hidden="false"/>
    </xf>
    <xf numFmtId="164" fontId="11" fillId="5" borderId="0" xfId="0" applyFont="true" applyBorder="true" applyAlignment="true" applyProtection="false">
      <alignment horizontal="right" vertical="center" textRotation="0" wrapText="true" indent="0" shrinkToFit="false" readingOrder="2"/>
      <protection locked="true" hidden="false"/>
    </xf>
    <xf numFmtId="164" fontId="7" fillId="4" borderId="0" xfId="0" applyFont="true" applyBorder="true" applyAlignment="true" applyProtection="false">
      <alignment horizontal="right" vertical="center" textRotation="0" wrapText="true" indent="0" shrinkToFit="false" readingOrder="2"/>
      <protection locked="true" hidden="false"/>
    </xf>
    <xf numFmtId="164" fontId="8" fillId="0" borderId="1" xfId="0" applyFont="true" applyBorder="true" applyAlignment="true" applyProtection="false">
      <alignment horizontal="right" vertical="center" textRotation="0" wrapText="true" indent="0" shrinkToFit="false" readingOrder="2"/>
      <protection locked="true" hidden="false"/>
    </xf>
    <xf numFmtId="165" fontId="12" fillId="5" borderId="1" xfId="0" applyFont="true" applyBorder="true" applyAlignment="true" applyProtection="true">
      <alignment horizontal="center" vertical="center" textRotation="0" wrapText="true" indent="0" shrinkToFit="false" readingOrder="2"/>
      <protection locked="false" hidden="false"/>
    </xf>
    <xf numFmtId="164" fontId="13" fillId="0" borderId="1" xfId="0" applyFont="true" applyBorder="true" applyAlignment="true" applyProtection="false">
      <alignment horizontal="right" vertical="center" textRotation="0" wrapText="true" indent="0" shrinkToFit="false" readingOrder="2"/>
      <protection locked="true" hidden="false"/>
    </xf>
    <xf numFmtId="166" fontId="13" fillId="6" borderId="1" xfId="0" applyFont="true" applyBorder="true" applyAlignment="true" applyProtection="false">
      <alignment horizontal="center" vertical="center" textRotation="0" wrapText="true" indent="0" shrinkToFit="false" readingOrder="2"/>
      <protection locked="true" hidden="false"/>
    </xf>
    <xf numFmtId="167" fontId="12" fillId="5" borderId="1" xfId="0" applyFont="true" applyBorder="true" applyAlignment="true" applyProtection="true">
      <alignment horizontal="center" vertical="center" textRotation="0" wrapText="true" indent="0" shrinkToFit="false" readingOrder="2"/>
      <protection locked="false" hidden="false"/>
    </xf>
    <xf numFmtId="167" fontId="13" fillId="6" borderId="1" xfId="0" applyFont="true" applyBorder="true" applyAlignment="true" applyProtection="false">
      <alignment horizontal="center" vertical="center" textRotation="0" wrapText="true" indent="0" shrinkToFit="false" readingOrder="2"/>
      <protection locked="true" hidden="false"/>
    </xf>
    <xf numFmtId="168" fontId="12" fillId="5" borderId="1" xfId="0" applyFont="true" applyBorder="true" applyAlignment="true" applyProtection="true">
      <alignment horizontal="center" vertical="center" textRotation="0" wrapText="true" indent="0" shrinkToFit="false" readingOrder="2"/>
      <protection locked="false" hidden="false"/>
    </xf>
    <xf numFmtId="169" fontId="13" fillId="6" borderId="1" xfId="0" applyFont="true" applyBorder="true" applyAlignment="true" applyProtection="false">
      <alignment horizontal="center" vertical="center" textRotation="0" wrapText="true" indent="0" shrinkToFit="false" readingOrder="2"/>
      <protection locked="true" hidden="false"/>
    </xf>
    <xf numFmtId="166" fontId="12" fillId="5" borderId="1" xfId="0" applyFont="true" applyBorder="true" applyAlignment="true" applyProtection="true">
      <alignment horizontal="center" vertical="center" textRotation="0" wrapText="true" indent="0" shrinkToFit="false" readingOrder="2"/>
      <protection locked="false" hidden="false"/>
    </xf>
    <xf numFmtId="170" fontId="13" fillId="6" borderId="1" xfId="0" applyFont="true" applyBorder="true" applyAlignment="true" applyProtection="false">
      <alignment horizontal="center" vertical="center" textRotation="0" wrapText="true" indent="0" shrinkToFit="false" readingOrder="2"/>
      <protection locked="true" hidden="false"/>
    </xf>
    <xf numFmtId="165" fontId="13" fillId="6" borderId="1" xfId="0" applyFont="true" applyBorder="true" applyAlignment="true" applyProtection="false">
      <alignment horizontal="right" vertical="center" textRotation="0" wrapText="true" indent="0" shrinkToFit="false" readingOrder="2"/>
      <protection locked="true" hidden="false"/>
    </xf>
    <xf numFmtId="164" fontId="14" fillId="2" borderId="1" xfId="0" applyFont="true" applyBorder="true" applyAlignment="true" applyProtection="false">
      <alignment horizontal="center" vertical="center" textRotation="0" wrapText="true" indent="0" shrinkToFit="false" readingOrder="2"/>
      <protection locked="true" hidden="false"/>
    </xf>
    <xf numFmtId="168" fontId="8" fillId="6" borderId="1" xfId="0" applyFont="true" applyBorder="true" applyAlignment="true" applyProtection="false">
      <alignment horizontal="center" vertical="center" textRotation="0" wrapText="true" indent="0" shrinkToFit="false" readingOrder="2"/>
      <protection locked="true" hidden="false"/>
    </xf>
    <xf numFmtId="166" fontId="8" fillId="6" borderId="1" xfId="0" applyFont="true" applyBorder="true" applyAlignment="true" applyProtection="false">
      <alignment horizontal="center" vertical="center" textRotation="0" wrapText="true" indent="0" shrinkToFit="false" readingOrder="2"/>
      <protection locked="true" hidden="false"/>
    </xf>
    <xf numFmtId="171" fontId="8" fillId="6" borderId="1" xfId="0" applyFont="true" applyBorder="true" applyAlignment="true" applyProtection="false">
      <alignment horizontal="center" vertical="center" textRotation="0" wrapText="true" indent="0" shrinkToFit="false" readingOrder="2"/>
      <protection locked="true" hidden="false"/>
    </xf>
    <xf numFmtId="172" fontId="0" fillId="0" borderId="0" xfId="0" applyFont="false" applyBorder="false" applyAlignment="false" applyProtection="false">
      <alignment horizontal="general" vertical="bottom" textRotation="0" wrapText="false" indent="0" shrinkToFit="false"/>
      <protection locked="true" hidden="false"/>
    </xf>
    <xf numFmtId="173" fontId="14" fillId="2" borderId="1" xfId="0" applyFont="true" applyBorder="true" applyAlignment="true" applyProtection="false">
      <alignment horizontal="center" vertical="center" textRotation="0" wrapText="true" indent="0" shrinkToFit="false" readingOrder="2"/>
      <protection locked="true" hidden="false"/>
    </xf>
    <xf numFmtId="174" fontId="13" fillId="4" borderId="1" xfId="0" applyFont="true" applyBorder="true" applyAlignment="true" applyProtection="false">
      <alignment horizontal="center" vertical="center" textRotation="0" wrapText="true" indent="0" shrinkToFit="false" readingOrder="2"/>
      <protection locked="true" hidden="false"/>
    </xf>
    <xf numFmtId="167" fontId="13" fillId="4" borderId="1" xfId="0" applyFont="true" applyBorder="true" applyAlignment="true" applyProtection="false">
      <alignment horizontal="center" vertical="center" textRotation="0" wrapText="true" indent="0" shrinkToFit="false" readingOrder="2"/>
      <protection locked="true" hidden="false"/>
    </xf>
    <xf numFmtId="164" fontId="16" fillId="0" borderId="0" xfId="0" applyFont="true" applyBorder="true" applyAlignment="true" applyProtection="false">
      <alignment horizontal="right" vertical="center" textRotation="0" wrapText="true" indent="0" shrinkToFit="false" readingOrder="2"/>
      <protection locked="true" hidden="false"/>
    </xf>
    <xf numFmtId="165" fontId="13" fillId="6" borderId="2" xfId="0" applyFont="true" applyBorder="true" applyAlignment="true" applyProtection="false">
      <alignment horizontal="right" vertical="center" textRotation="0" wrapText="true" indent="0" shrinkToFit="false" readingOrder="2"/>
      <protection locked="true" hidden="false"/>
    </xf>
    <xf numFmtId="165" fontId="8" fillId="6" borderId="3" xfId="0" applyFont="true" applyBorder="true" applyAlignment="true" applyProtection="false">
      <alignment horizontal="right" vertical="center" textRotation="0" wrapText="true" indent="0" shrinkToFit="false" readingOrder="2"/>
      <protection locked="true" hidden="false"/>
    </xf>
    <xf numFmtId="164" fontId="17" fillId="0" borderId="0" xfId="0" applyFont="true" applyBorder="false" applyAlignment="true" applyProtection="false">
      <alignment horizontal="right" vertical="center" textRotation="0" wrapText="true" indent="0" shrinkToFit="false" readingOrder="2"/>
      <protection locked="true" hidden="false"/>
    </xf>
    <xf numFmtId="169" fontId="12" fillId="5" borderId="1" xfId="0" applyFont="true" applyBorder="true" applyAlignment="true" applyProtection="true">
      <alignment horizontal="center" vertical="center" textRotation="0" wrapText="true" indent="0" shrinkToFit="false" readingOrder="2"/>
      <protection locked="false" hidden="false"/>
    </xf>
    <xf numFmtId="175" fontId="12" fillId="5" borderId="1" xfId="0" applyFont="true" applyBorder="true" applyAlignment="true" applyProtection="true">
      <alignment horizontal="center" vertical="center" textRotation="0" wrapText="true" indent="0" shrinkToFit="false" readingOrder="2"/>
      <protection locked="false" hidden="false"/>
    </xf>
    <xf numFmtId="167" fontId="8" fillId="6" borderId="1" xfId="0" applyFont="true" applyBorder="true" applyAlignment="true" applyProtection="false">
      <alignment horizontal="center" vertical="center" textRotation="0" wrapText="true" indent="0" shrinkToFit="false" readingOrder="2"/>
      <protection locked="true" hidden="false"/>
    </xf>
    <xf numFmtId="167" fontId="13" fillId="3" borderId="1" xfId="0" applyFont="true" applyBorder="true" applyAlignment="true" applyProtection="false">
      <alignment horizontal="center" vertical="center" textRotation="0" wrapText="true" indent="0" shrinkToFit="false" readingOrder="2"/>
      <protection locked="true" hidden="false"/>
    </xf>
    <xf numFmtId="164" fontId="17" fillId="0" borderId="0" xfId="0" applyFont="true" applyBorder="true" applyAlignment="true" applyProtection="false">
      <alignment horizontal="right" vertical="center" textRotation="0" wrapText="true" indent="0" shrinkToFit="false" readingOrder="2"/>
      <protection locked="true" hidden="false"/>
    </xf>
    <xf numFmtId="175" fontId="13" fillId="6" borderId="1" xfId="0" applyFont="true" applyBorder="true" applyAlignment="true" applyProtection="false">
      <alignment horizontal="center" vertical="center" textRotation="0" wrapText="true" indent="0" shrinkToFit="false" readingOrder="2"/>
      <protection locked="true" hidden="false"/>
    </xf>
    <xf numFmtId="176" fontId="12" fillId="5" borderId="1" xfId="0" applyFont="true" applyBorder="true" applyAlignment="true" applyProtection="true">
      <alignment horizontal="center" vertical="center" textRotation="0" wrapText="true" indent="0" shrinkToFit="false" readingOrder="2"/>
      <protection locked="false" hidden="false"/>
    </xf>
    <xf numFmtId="168" fontId="13" fillId="6" borderId="1" xfId="0" applyFont="true" applyBorder="true" applyAlignment="true" applyProtection="false">
      <alignment horizontal="center" vertical="center" textRotation="0" wrapText="true" indent="0" shrinkToFit="false" readingOrder="2"/>
      <protection locked="true" hidden="false"/>
    </xf>
    <xf numFmtId="177" fontId="12" fillId="5" borderId="1" xfId="0" applyFont="true" applyBorder="true" applyAlignment="true" applyProtection="true">
      <alignment horizontal="center" vertical="center" textRotation="0" wrapText="true" indent="0" shrinkToFit="false" readingOrder="2"/>
      <protection locked="false" hidden="false"/>
    </xf>
    <xf numFmtId="177" fontId="8" fillId="6" borderId="1" xfId="0" applyFont="true" applyBorder="true" applyAlignment="true" applyProtection="false">
      <alignment horizontal="center" vertical="center" textRotation="0" wrapText="true" indent="0" shrinkToFit="false" readingOrder="2"/>
      <protection locked="true" hidden="false"/>
    </xf>
    <xf numFmtId="175" fontId="8" fillId="6" borderId="1" xfId="0" applyFont="true" applyBorder="true" applyAlignment="true" applyProtection="false">
      <alignment horizontal="center" vertical="center" textRotation="0" wrapText="true" indent="0" shrinkToFit="false" readingOrder="2"/>
      <protection locked="true" hidden="false"/>
    </xf>
    <xf numFmtId="175" fontId="13" fillId="3" borderId="1" xfId="0" applyFont="true" applyBorder="true" applyAlignment="true" applyProtection="false">
      <alignment horizontal="center" vertical="center" textRotation="0" wrapText="true" indent="0" shrinkToFit="false" readingOrder="2"/>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9CBD6"/>
      <rgbColor rgb="FF808080"/>
      <rgbColor rgb="FF9999FF"/>
      <rgbColor rgb="FF993366"/>
      <rgbColor rgb="FFFFF4CC"/>
      <rgbColor rgb="FFEEF1F8"/>
      <rgbColor rgb="FF660066"/>
      <rgbColor rgb="FFFF8080"/>
      <rgbColor rgb="FF0066CC"/>
      <rgbColor rgb="FFE4E2F2"/>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2B632"/>
      <rgbColor rgb="FFFF9900"/>
      <rgbColor rgb="FFFF6600"/>
      <rgbColor rgb="FF666666"/>
      <rgbColor rgb="FF969696"/>
      <rgbColor rgb="FF1C1B42"/>
      <rgbColor rgb="FF339966"/>
      <rgbColor rgb="FF003300"/>
      <rgbColor rgb="FF333300"/>
      <rgbColor rgb="FF993300"/>
      <rgbColor rgb="FF993366"/>
      <rgbColor rgb="FF555555"/>
      <rgbColor rgb="FF222222"/>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2.xml.rels><?xml version="1.0" encoding="UTF-8"?>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26"/>
  <sheetViews>
    <sheetView showFormulas="false" showGridLines="false" showRowColHeaders="true" showZeros="true" rightToLeft="tru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
    <col collapsed="false" customWidth="true" hidden="false" outlineLevel="0" max="2" min="2" style="0" width="96"/>
  </cols>
  <sheetData>
    <row r="1" customFormat="false" ht="33.75" hidden="false" customHeight="true" outlineLevel="0" collapsed="false">
      <c r="A1" s="1" t="s">
        <v>0</v>
      </c>
      <c r="B1" s="1"/>
    </row>
    <row r="2" customFormat="false" ht="15" hidden="false" customHeight="true" outlineLevel="0" collapsed="false">
      <c r="A2" s="2" t="s">
        <v>1</v>
      </c>
      <c r="B2" s="2"/>
    </row>
    <row r="4" customFormat="false" ht="60" hidden="false" customHeight="true" outlineLevel="0" collapsed="false">
      <c r="B4" s="3" t="s">
        <v>2</v>
      </c>
    </row>
    <row r="6" customFormat="false" ht="19.5" hidden="false" customHeight="true" outlineLevel="0" collapsed="false">
      <c r="B6" s="4" t="s">
        <v>3</v>
      </c>
    </row>
    <row r="7" customFormat="false" ht="31.5" hidden="false" customHeight="true" outlineLevel="0" collapsed="false">
      <c r="B7" s="5" t="s">
        <v>4</v>
      </c>
    </row>
    <row r="8" customFormat="false" ht="31.5" hidden="false" customHeight="true" outlineLevel="0" collapsed="false">
      <c r="B8" s="5" t="s">
        <v>5</v>
      </c>
    </row>
    <row r="9" customFormat="false" ht="31.5" hidden="false" customHeight="true" outlineLevel="0" collapsed="false">
      <c r="B9" s="5" t="s">
        <v>6</v>
      </c>
    </row>
    <row r="10" customFormat="false" ht="31.5" hidden="false" customHeight="true" outlineLevel="0" collapsed="false">
      <c r="B10" s="5" t="s">
        <v>7</v>
      </c>
    </row>
    <row r="11" customFormat="false" ht="31.5" hidden="false" customHeight="true" outlineLevel="0" collapsed="false">
      <c r="B11" s="5" t="s">
        <v>8</v>
      </c>
    </row>
    <row r="12" customFormat="false" ht="31.5" hidden="false" customHeight="true" outlineLevel="0" collapsed="false">
      <c r="B12" s="5" t="s">
        <v>9</v>
      </c>
    </row>
    <row r="14" customFormat="false" ht="19.5" hidden="false" customHeight="true" outlineLevel="0" collapsed="false">
      <c r="B14" s="4" t="s">
        <v>10</v>
      </c>
    </row>
    <row r="15" customFormat="false" ht="31.5" hidden="false" customHeight="true" outlineLevel="0" collapsed="false">
      <c r="B15" s="5" t="s">
        <v>11</v>
      </c>
    </row>
    <row r="16" customFormat="false" ht="31.5" hidden="false" customHeight="true" outlineLevel="0" collapsed="false">
      <c r="B16" s="5" t="s">
        <v>12</v>
      </c>
    </row>
    <row r="17" customFormat="false" ht="31.5" hidden="false" customHeight="true" outlineLevel="0" collapsed="false">
      <c r="B17" s="5" t="s">
        <v>13</v>
      </c>
    </row>
    <row r="18" customFormat="false" ht="31.5" hidden="false" customHeight="true" outlineLevel="0" collapsed="false">
      <c r="B18" s="5" t="s">
        <v>14</v>
      </c>
    </row>
    <row r="20" customFormat="false" ht="19.5" hidden="false" customHeight="true" outlineLevel="0" collapsed="false">
      <c r="B20" s="4" t="s">
        <v>15</v>
      </c>
    </row>
    <row r="21" customFormat="false" ht="15" hidden="false" customHeight="false" outlineLevel="0" collapsed="false">
      <c r="B21" s="6" t="s">
        <v>16</v>
      </c>
    </row>
    <row r="22" customFormat="false" ht="15" hidden="false" customHeight="false" outlineLevel="0" collapsed="false">
      <c r="B22" s="6" t="s">
        <v>17</v>
      </c>
    </row>
    <row r="23" customFormat="false" ht="15" hidden="false" customHeight="false" outlineLevel="0" collapsed="false">
      <c r="B23" s="6" t="s">
        <v>18</v>
      </c>
    </row>
    <row r="24" customFormat="false" ht="15" hidden="false" customHeight="false" outlineLevel="0" collapsed="false">
      <c r="B24" s="6" t="s">
        <v>19</v>
      </c>
    </row>
    <row r="26" customFormat="false" ht="27.75" hidden="false" customHeight="true" outlineLevel="0" collapsed="false">
      <c r="A26" s="7" t="s">
        <v>20</v>
      </c>
      <c r="B26" s="7"/>
    </row>
  </sheetData>
  <sheetProtection sheet="true" password="9abc" formatColumns="false"/>
  <mergeCells count="3">
    <mergeCell ref="A1:B1"/>
    <mergeCell ref="A2:B2"/>
    <mergeCell ref="A26:B26"/>
  </mergeCells>
  <printOptions headings="false" gridLines="false" gridLinesSet="true" horizontalCentered="true" verticalCentered="false"/>
  <pageMargins left="0.75" right="0.75" top="1" bottom="1" header="0.511811023622047" footer="0.511811023622047"/>
  <pageSetup paperSize="9" scale="100" fitToWidth="1" fitToHeight="0"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J49"/>
  <sheetViews>
    <sheetView showFormulas="false" showGridLines="false" showRowColHeaders="true" showZeros="true" rightToLeft="true" tabSelected="false" showOutlineSymbols="true" defaultGridColor="true" view="normal" topLeftCell="A1" colorId="64" zoomScale="100" zoomScaleNormal="100" zoomScalePageLayoutView="100" workbookViewId="0">
      <pane xSplit="0" ySplit="3" topLeftCell="A4"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30"/>
    <col collapsed="false" customWidth="true" hidden="false" outlineLevel="0" max="8" min="2" style="0" width="16"/>
    <col collapsed="false" customWidth="true" hidden="true" outlineLevel="0" max="10" min="9" style="0" width="13"/>
  </cols>
  <sheetData>
    <row r="1" customFormat="false" ht="33.75" hidden="false" customHeight="true" outlineLevel="0" collapsed="false">
      <c r="A1" s="1" t="s">
        <v>21</v>
      </c>
      <c r="B1" s="1"/>
      <c r="C1" s="1"/>
      <c r="D1" s="1"/>
      <c r="E1" s="1"/>
      <c r="F1" s="1"/>
      <c r="G1" s="1"/>
      <c r="H1" s="1"/>
    </row>
    <row r="2" customFormat="false" ht="15" hidden="false" customHeight="true" outlineLevel="0" collapsed="false">
      <c r="A2" s="2" t="s">
        <v>1</v>
      </c>
      <c r="B2" s="2"/>
      <c r="C2" s="2"/>
      <c r="D2" s="2"/>
      <c r="E2" s="2"/>
      <c r="F2" s="2"/>
      <c r="G2" s="2"/>
      <c r="H2" s="2"/>
    </row>
    <row r="3" customFormat="false" ht="15" hidden="false" customHeight="true" outlineLevel="0" collapsed="false">
      <c r="A3" s="8" t="s">
        <v>22</v>
      </c>
      <c r="B3" s="8"/>
      <c r="C3" s="8"/>
      <c r="D3" s="8"/>
      <c r="E3" s="8"/>
      <c r="F3" s="8"/>
      <c r="G3" s="8"/>
      <c r="H3" s="8"/>
    </row>
    <row r="4" customFormat="false" ht="19.5" hidden="false" customHeight="true" outlineLevel="0" collapsed="false">
      <c r="A4" s="9" t="s">
        <v>23</v>
      </c>
      <c r="B4" s="9"/>
      <c r="C4" s="9"/>
      <c r="D4" s="9"/>
      <c r="E4" s="9" t="s">
        <v>24</v>
      </c>
      <c r="F4" s="9"/>
      <c r="G4" s="9"/>
      <c r="H4" s="9"/>
    </row>
    <row r="5" customFormat="false" ht="15" hidden="false" customHeight="true" outlineLevel="0" collapsed="false">
      <c r="A5" s="10" t="s">
        <v>25</v>
      </c>
      <c r="B5" s="11" t="s">
        <v>26</v>
      </c>
      <c r="C5" s="11"/>
      <c r="D5" s="11"/>
      <c r="E5" s="12" t="s">
        <v>27</v>
      </c>
      <c r="F5" s="12"/>
      <c r="G5" s="13" t="n">
        <f aca="false">SUM(F13:F28)</f>
        <v>2266486.65972899</v>
      </c>
      <c r="H5" s="13"/>
    </row>
    <row r="6" customFormat="false" ht="15" hidden="false" customHeight="true" outlineLevel="0" collapsed="false">
      <c r="A6" s="10" t="s">
        <v>28</v>
      </c>
      <c r="B6" s="14" t="n">
        <v>0.12</v>
      </c>
      <c r="E6" s="12" t="s">
        <v>29</v>
      </c>
      <c r="F6" s="12"/>
      <c r="G6" s="15" t="n">
        <f aca="false">IFERROR(IRR(D13:D28),"لا يوجد")</f>
        <v>0.221017962000719</v>
      </c>
      <c r="H6" s="15"/>
    </row>
    <row r="7" customFormat="false" ht="15" hidden="false" customHeight="true" outlineLevel="0" collapsed="false">
      <c r="A7" s="10" t="s">
        <v>30</v>
      </c>
      <c r="B7" s="14" t="n">
        <v>0.08</v>
      </c>
      <c r="E7" s="12" t="s">
        <v>31</v>
      </c>
      <c r="F7" s="12"/>
      <c r="G7" s="15" t="n">
        <f aca="false">IFERROR(MIRR(D13:D28,B6,B7),"لا يوجد")</f>
        <v>0.119758660137099</v>
      </c>
      <c r="H7" s="15"/>
    </row>
    <row r="8" customFormat="false" ht="15" hidden="false" customHeight="true" outlineLevel="0" collapsed="false">
      <c r="A8" s="10" t="s">
        <v>32</v>
      </c>
      <c r="B8" s="16" t="n">
        <v>8</v>
      </c>
      <c r="E8" s="12" t="s">
        <v>33</v>
      </c>
      <c r="F8" s="12"/>
      <c r="G8" s="17" t="n">
        <f aca="false">IFERROR(SUM(F14:F28)/B9,"")</f>
        <v>1.4532973319458</v>
      </c>
      <c r="H8" s="17"/>
    </row>
    <row r="9" customFormat="false" ht="15" hidden="false" customHeight="true" outlineLevel="0" collapsed="false">
      <c r="A9" s="10" t="s">
        <v>34</v>
      </c>
      <c r="B9" s="18" t="n">
        <v>5000000</v>
      </c>
      <c r="E9" s="12" t="s">
        <v>35</v>
      </c>
      <c r="F9" s="12"/>
      <c r="G9" s="19" t="n">
        <f aca="false">IF(COUNT(I14:I28)=0,"لا يُسترد خلال عمر المشروع",MIN(I14:I28))</f>
        <v>4</v>
      </c>
      <c r="H9" s="19"/>
    </row>
    <row r="10" customFormat="false" ht="15" hidden="false" customHeight="true" outlineLevel="0" collapsed="false">
      <c r="A10" s="10" t="s">
        <v>36</v>
      </c>
      <c r="B10" s="18" t="n">
        <v>600000</v>
      </c>
      <c r="E10" s="12" t="s">
        <v>37</v>
      </c>
      <c r="F10" s="12"/>
      <c r="G10" s="19" t="n">
        <f aca="false">IF(COUNT(J14:J28)=0,"لا يُسترد خلال عمر المشروع",MIN(J14:J28))</f>
        <v>5.42247541112644</v>
      </c>
      <c r="H10" s="19"/>
    </row>
    <row r="11" customFormat="false" ht="25.5" hidden="false" customHeight="true" outlineLevel="0" collapsed="false">
      <c r="A11" s="20" t="str">
        <f aca="false">IF(G5&gt;0,"القرار: المشروع مجدٍ مالياً عند معدل الخصم المحدد، لأن صافي القيمة الحالية موجب ("&amp;TEXT(G5,"#,##0")&amp;").","القرار: المشروع غير مجدٍ مالياً عند معدل الخصم المحدد، لأن صافي القيمة الحالية سالب أو صفر.")</f>
        <v>القرار: المشروع مجدٍ مالياً عند معدل الخصم المحدد، لأن صافي القيمة الحالية موجب (2,266,487).</v>
      </c>
      <c r="B11" s="20"/>
      <c r="C11" s="20"/>
      <c r="D11" s="20"/>
      <c r="E11" s="20"/>
      <c r="F11" s="20"/>
      <c r="G11" s="20"/>
      <c r="H11" s="20"/>
    </row>
    <row r="12" customFormat="false" ht="30" hidden="false" customHeight="true" outlineLevel="0" collapsed="false">
      <c r="A12" s="21" t="s">
        <v>38</v>
      </c>
      <c r="B12" s="21" t="s">
        <v>39</v>
      </c>
      <c r="C12" s="21" t="s">
        <v>40</v>
      </c>
      <c r="D12" s="21" t="s">
        <v>41</v>
      </c>
      <c r="E12" s="21" t="s">
        <v>42</v>
      </c>
      <c r="F12" s="21" t="s">
        <v>43</v>
      </c>
      <c r="G12" s="21" t="s">
        <v>44</v>
      </c>
      <c r="H12" s="21" t="s">
        <v>45</v>
      </c>
    </row>
    <row r="13" customFormat="false" ht="15" hidden="false" customHeight="false" outlineLevel="0" collapsed="false">
      <c r="A13" s="22" t="n">
        <v>0</v>
      </c>
      <c r="B13" s="23"/>
      <c r="C13" s="23"/>
      <c r="D13" s="23" t="n">
        <f aca="false">-B9</f>
        <v>-5000000</v>
      </c>
      <c r="E13" s="24" t="n">
        <v>1</v>
      </c>
      <c r="F13" s="23" t="n">
        <f aca="false">D13*E13</f>
        <v>-5000000</v>
      </c>
      <c r="G13" s="23" t="n">
        <f aca="false">D13</f>
        <v>-5000000</v>
      </c>
      <c r="H13" s="23" t="n">
        <f aca="false">F13</f>
        <v>-5000000</v>
      </c>
    </row>
    <row r="14" customFormat="false" ht="15" hidden="false" customHeight="false" outlineLevel="0" collapsed="false">
      <c r="A14" s="22" t="n">
        <v>1</v>
      </c>
      <c r="B14" s="18" t="n">
        <v>1400000</v>
      </c>
      <c r="C14" s="18" t="n">
        <v>600000</v>
      </c>
      <c r="D14" s="23" t="n">
        <f aca="false">IF(A14&lt;=$B$8,N(B14)-N(C14)+IF(A14=$B$8,$B$10,0),0)</f>
        <v>800000</v>
      </c>
      <c r="E14" s="24" t="n">
        <f aca="false">IF(A14&lt;=$B$8,1/(1+$B$6)^A14,0)</f>
        <v>0.892857142857143</v>
      </c>
      <c r="F14" s="23" t="n">
        <f aca="false">D14*E14</f>
        <v>714285.714285714</v>
      </c>
      <c r="G14" s="23" t="n">
        <f aca="false">G13+D14</f>
        <v>-4200000</v>
      </c>
      <c r="H14" s="23" t="n">
        <f aca="false">H13+F14</f>
        <v>-4285714.28571429</v>
      </c>
      <c r="I14" s="0" t="str">
        <f aca="false">IF(AND(A14&lt;=$B$8,G13&lt;0,G14&gt;=0),A14-1+(-G13)/D14,"")</f>
        <v/>
      </c>
      <c r="J14" s="0" t="str">
        <f aca="false">IF(AND(A14&lt;=$B$8,H13&lt;0,H14&gt;=0),A14-1+(-H13)/F14,"")</f>
        <v/>
      </c>
    </row>
    <row r="15" customFormat="false" ht="15" hidden="false" customHeight="false" outlineLevel="0" collapsed="false">
      <c r="A15" s="22" t="n">
        <v>2</v>
      </c>
      <c r="B15" s="18" t="n">
        <v>1900000</v>
      </c>
      <c r="C15" s="18" t="n">
        <v>750000</v>
      </c>
      <c r="D15" s="23" t="n">
        <f aca="false">IF(A15&lt;=$B$8,N(B15)-N(C15)+IF(A15=$B$8,$B$10,0),0)</f>
        <v>1150000</v>
      </c>
      <c r="E15" s="24" t="n">
        <f aca="false">IF(A15&lt;=$B$8,1/(1+$B$6)^A15,0)</f>
        <v>0.79719387755102</v>
      </c>
      <c r="F15" s="23" t="n">
        <f aca="false">D15*E15</f>
        <v>916772.959183673</v>
      </c>
      <c r="G15" s="23" t="n">
        <f aca="false">G14+D15</f>
        <v>-3050000</v>
      </c>
      <c r="H15" s="23" t="n">
        <f aca="false">H14+F15</f>
        <v>-3368941.32653061</v>
      </c>
      <c r="I15" s="0" t="str">
        <f aca="false">IF(AND(A15&lt;=$B$8,G14&lt;0,G15&gt;=0),A15-1+(-G14)/D15,"")</f>
        <v/>
      </c>
      <c r="J15" s="0" t="str">
        <f aca="false">IF(AND(A15&lt;=$B$8,H14&lt;0,H15&gt;=0),A15-1+(-H14)/F15,"")</f>
        <v/>
      </c>
    </row>
    <row r="16" customFormat="false" ht="15" hidden="false" customHeight="false" outlineLevel="0" collapsed="false">
      <c r="A16" s="22" t="n">
        <v>3</v>
      </c>
      <c r="B16" s="18" t="n">
        <v>2300000</v>
      </c>
      <c r="C16" s="18" t="n">
        <v>850000</v>
      </c>
      <c r="D16" s="23" t="n">
        <f aca="false">IF(A16&lt;=$B$8,N(B16)-N(C16)+IF(A16=$B$8,$B$10,0),0)</f>
        <v>1450000</v>
      </c>
      <c r="E16" s="24" t="n">
        <f aca="false">IF(A16&lt;=$B$8,1/(1+$B$6)^A16,0)</f>
        <v>0.711780247813411</v>
      </c>
      <c r="F16" s="23" t="n">
        <f aca="false">D16*E16</f>
        <v>1032081.35932945</v>
      </c>
      <c r="G16" s="23" t="n">
        <f aca="false">G15+D16</f>
        <v>-1600000</v>
      </c>
      <c r="H16" s="23" t="n">
        <f aca="false">H15+F16</f>
        <v>-2336859.96720117</v>
      </c>
      <c r="I16" s="0" t="str">
        <f aca="false">IF(AND(A16&lt;=$B$8,G15&lt;0,G16&gt;=0),A16-1+(-G15)/D16,"")</f>
        <v/>
      </c>
      <c r="J16" s="0" t="str">
        <f aca="false">IF(AND(A16&lt;=$B$8,H15&lt;0,H16&gt;=0),A16-1+(-H15)/F16,"")</f>
        <v/>
      </c>
    </row>
    <row r="17" customFormat="false" ht="15" hidden="false" customHeight="false" outlineLevel="0" collapsed="false">
      <c r="A17" s="22" t="n">
        <v>4</v>
      </c>
      <c r="B17" s="18" t="n">
        <v>2500000</v>
      </c>
      <c r="C17" s="18" t="n">
        <v>900000</v>
      </c>
      <c r="D17" s="23" t="n">
        <f aca="false">IF(A17&lt;=$B$8,N(B17)-N(C17)+IF(A17=$B$8,$B$10,0),0)</f>
        <v>1600000</v>
      </c>
      <c r="E17" s="24" t="n">
        <f aca="false">IF(A17&lt;=$B$8,1/(1+$B$6)^A17,0)</f>
        <v>0.635518078404831</v>
      </c>
      <c r="F17" s="23" t="n">
        <f aca="false">D17*E17</f>
        <v>1016828.92544773</v>
      </c>
      <c r="G17" s="23" t="n">
        <f aca="false">G16+D17</f>
        <v>0</v>
      </c>
      <c r="H17" s="23" t="n">
        <f aca="false">H16+F17</f>
        <v>-1320031.04175344</v>
      </c>
      <c r="I17" s="25" t="n">
        <f aca="false">IF(AND(A17&lt;=$B$8,G16&lt;0,G17&gt;=0),A17-1+(-G16)/D17,"")</f>
        <v>4</v>
      </c>
      <c r="J17" s="0" t="str">
        <f aca="false">IF(AND(A17&lt;=$B$8,H16&lt;0,H17&gt;=0),A17-1+(-H16)/F17,"")</f>
        <v/>
      </c>
    </row>
    <row r="18" customFormat="false" ht="15" hidden="false" customHeight="false" outlineLevel="0" collapsed="false">
      <c r="A18" s="22" t="n">
        <v>5</v>
      </c>
      <c r="B18" s="18" t="n">
        <v>2600000</v>
      </c>
      <c r="C18" s="18" t="n">
        <v>930000</v>
      </c>
      <c r="D18" s="23" t="n">
        <f aca="false">IF(A18&lt;=$B$8,N(B18)-N(C18)+IF(A18=$B$8,$B$10,0),0)</f>
        <v>1670000</v>
      </c>
      <c r="E18" s="24" t="n">
        <f aca="false">IF(A18&lt;=$B$8,1/(1+$B$6)^A18,0)</f>
        <v>0.567426855718599</v>
      </c>
      <c r="F18" s="23" t="n">
        <f aca="false">D18*E18</f>
        <v>947602.849050061</v>
      </c>
      <c r="G18" s="23" t="n">
        <f aca="false">G17+D18</f>
        <v>1670000</v>
      </c>
      <c r="H18" s="23" t="n">
        <f aca="false">H17+F18</f>
        <v>-372428.192703376</v>
      </c>
      <c r="I18" s="0" t="str">
        <f aca="false">IF(AND(A18&lt;=$B$8,G17&lt;0,G18&gt;=0),A18-1+(-G17)/D18,"")</f>
        <v/>
      </c>
      <c r="J18" s="0" t="str">
        <f aca="false">IF(AND(A18&lt;=$B$8,H17&lt;0,H18&gt;=0),A18-1+(-H17)/F18,"")</f>
        <v/>
      </c>
    </row>
    <row r="19" customFormat="false" ht="15" hidden="false" customHeight="false" outlineLevel="0" collapsed="false">
      <c r="A19" s="22" t="n">
        <v>6</v>
      </c>
      <c r="B19" s="18" t="n">
        <v>2700000</v>
      </c>
      <c r="C19" s="18" t="n">
        <v>960000</v>
      </c>
      <c r="D19" s="23" t="n">
        <f aca="false">IF(A19&lt;=$B$8,N(B19)-N(C19)+IF(A19=$B$8,$B$10,0),0)</f>
        <v>1740000</v>
      </c>
      <c r="E19" s="24" t="n">
        <f aca="false">IF(A19&lt;=$B$8,1/(1+$B$6)^A19,0)</f>
        <v>0.506631121177321</v>
      </c>
      <c r="F19" s="23" t="n">
        <f aca="false">D19*E19</f>
        <v>881538.150848538</v>
      </c>
      <c r="G19" s="23" t="n">
        <f aca="false">G18+D19</f>
        <v>3410000</v>
      </c>
      <c r="H19" s="23" t="n">
        <f aca="false">H18+F19</f>
        <v>509109.958145162</v>
      </c>
      <c r="I19" s="0" t="str">
        <f aca="false">IF(AND(A19&lt;=$B$8,G18&lt;0,G19&gt;=0),A19-1+(-G18)/D19,"")</f>
        <v/>
      </c>
      <c r="J19" s="25" t="n">
        <f aca="false">IF(AND(A19&lt;=$B$8,H18&lt;0,H19&gt;=0),A19-1+(-H18)/F19,"")</f>
        <v>5.42247541112644</v>
      </c>
    </row>
    <row r="20" customFormat="false" ht="15" hidden="false" customHeight="false" outlineLevel="0" collapsed="false">
      <c r="A20" s="22" t="n">
        <v>7</v>
      </c>
      <c r="B20" s="18" t="n">
        <v>2750000</v>
      </c>
      <c r="C20" s="18" t="n">
        <v>990000</v>
      </c>
      <c r="D20" s="23" t="n">
        <f aca="false">IF(A20&lt;=$B$8,N(B20)-N(C20)+IF(A20=$B$8,$B$10,0),0)</f>
        <v>1760000</v>
      </c>
      <c r="E20" s="24" t="n">
        <f aca="false">IF(A20&lt;=$B$8,1/(1+$B$6)^A20,0)</f>
        <v>0.452349215336893</v>
      </c>
      <c r="F20" s="23" t="n">
        <f aca="false">D20*E20</f>
        <v>796134.618992932</v>
      </c>
      <c r="G20" s="23" t="n">
        <f aca="false">G19+D20</f>
        <v>5170000</v>
      </c>
      <c r="H20" s="23" t="n">
        <f aca="false">H19+F20</f>
        <v>1305244.57713809</v>
      </c>
      <c r="I20" s="0" t="str">
        <f aca="false">IF(AND(A20&lt;=$B$8,G19&lt;0,G20&gt;=0),A20-1+(-G19)/D20,"")</f>
        <v/>
      </c>
      <c r="J20" s="0" t="str">
        <f aca="false">IF(AND(A20&lt;=$B$8,H19&lt;0,H20&gt;=0),A20-1+(-H19)/F20,"")</f>
        <v/>
      </c>
    </row>
    <row r="21" customFormat="false" ht="15" hidden="false" customHeight="false" outlineLevel="0" collapsed="false">
      <c r="A21" s="22" t="n">
        <v>8</v>
      </c>
      <c r="B21" s="18" t="n">
        <v>2800000</v>
      </c>
      <c r="C21" s="18" t="n">
        <v>1020000</v>
      </c>
      <c r="D21" s="23" t="n">
        <f aca="false">IF(A21&lt;=$B$8,N(B21)-N(C21)+IF(A21=$B$8,$B$10,0),0)</f>
        <v>2380000</v>
      </c>
      <c r="E21" s="24" t="n">
        <f aca="false">IF(A21&lt;=$B$8,1/(1+$B$6)^A21,0)</f>
        <v>0.403883227979369</v>
      </c>
      <c r="F21" s="23" t="n">
        <f aca="false">D21*E21</f>
        <v>961242.082590898</v>
      </c>
      <c r="G21" s="23" t="n">
        <f aca="false">G20+D21</f>
        <v>7550000</v>
      </c>
      <c r="H21" s="23" t="n">
        <f aca="false">H20+F21</f>
        <v>2266486.65972899</v>
      </c>
      <c r="I21" s="0" t="str">
        <f aca="false">IF(AND(A21&lt;=$B$8,G20&lt;0,G21&gt;=0),A21-1+(-G20)/D21,"")</f>
        <v/>
      </c>
      <c r="J21" s="0" t="str">
        <f aca="false">IF(AND(A21&lt;=$B$8,H20&lt;0,H21&gt;=0),A21-1+(-H20)/F21,"")</f>
        <v/>
      </c>
    </row>
    <row r="22" customFormat="false" ht="15" hidden="false" customHeight="false" outlineLevel="0" collapsed="false">
      <c r="A22" s="22" t="n">
        <v>9</v>
      </c>
      <c r="B22" s="18"/>
      <c r="C22" s="18"/>
      <c r="D22" s="23" t="n">
        <f aca="false">IF(A22&lt;=$B$8,N(B22)-N(C22)+IF(A22=$B$8,$B$10,0),0)</f>
        <v>0</v>
      </c>
      <c r="E22" s="24" t="n">
        <f aca="false">IF(A22&lt;=$B$8,1/(1+$B$6)^A22,0)</f>
        <v>0</v>
      </c>
      <c r="F22" s="23" t="n">
        <f aca="false">D22*E22</f>
        <v>0</v>
      </c>
      <c r="G22" s="23" t="n">
        <f aca="false">G21+D22</f>
        <v>7550000</v>
      </c>
      <c r="H22" s="23" t="n">
        <f aca="false">H21+F22</f>
        <v>2266486.65972899</v>
      </c>
      <c r="I22" s="0" t="str">
        <f aca="false">IF(AND(A22&lt;=$B$8,G21&lt;0,G22&gt;=0),A22-1+(-G21)/D22,"")</f>
        <v/>
      </c>
      <c r="J22" s="0" t="str">
        <f aca="false">IF(AND(A22&lt;=$B$8,H21&lt;0,H22&gt;=0),A22-1+(-H21)/F22,"")</f>
        <v/>
      </c>
    </row>
    <row r="23" customFormat="false" ht="15" hidden="false" customHeight="false" outlineLevel="0" collapsed="false">
      <c r="A23" s="22" t="n">
        <v>10</v>
      </c>
      <c r="B23" s="18"/>
      <c r="C23" s="18"/>
      <c r="D23" s="23" t="n">
        <f aca="false">IF(A23&lt;=$B$8,N(B23)-N(C23)+IF(A23=$B$8,$B$10,0),0)</f>
        <v>0</v>
      </c>
      <c r="E23" s="24" t="n">
        <f aca="false">IF(A23&lt;=$B$8,1/(1+$B$6)^A23,0)</f>
        <v>0</v>
      </c>
      <c r="F23" s="23" t="n">
        <f aca="false">D23*E23</f>
        <v>0</v>
      </c>
      <c r="G23" s="23" t="n">
        <f aca="false">G22+D23</f>
        <v>7550000</v>
      </c>
      <c r="H23" s="23" t="n">
        <f aca="false">H22+F23</f>
        <v>2266486.65972899</v>
      </c>
      <c r="I23" s="0" t="str">
        <f aca="false">IF(AND(A23&lt;=$B$8,G22&lt;0,G23&gt;=0),A23-1+(-G22)/D23,"")</f>
        <v/>
      </c>
      <c r="J23" s="0" t="str">
        <f aca="false">IF(AND(A23&lt;=$B$8,H22&lt;0,H23&gt;=0),A23-1+(-H22)/F23,"")</f>
        <v/>
      </c>
    </row>
    <row r="24" customFormat="false" ht="15" hidden="false" customHeight="false" outlineLevel="0" collapsed="false">
      <c r="A24" s="22" t="n">
        <v>11</v>
      </c>
      <c r="B24" s="18"/>
      <c r="C24" s="18"/>
      <c r="D24" s="23" t="n">
        <f aca="false">IF(A24&lt;=$B$8,N(B24)-N(C24)+IF(A24=$B$8,$B$10,0),0)</f>
        <v>0</v>
      </c>
      <c r="E24" s="24" t="n">
        <f aca="false">IF(A24&lt;=$B$8,1/(1+$B$6)^A24,0)</f>
        <v>0</v>
      </c>
      <c r="F24" s="23" t="n">
        <f aca="false">D24*E24</f>
        <v>0</v>
      </c>
      <c r="G24" s="23" t="n">
        <f aca="false">G23+D24</f>
        <v>7550000</v>
      </c>
      <c r="H24" s="23" t="n">
        <f aca="false">H23+F24</f>
        <v>2266486.65972899</v>
      </c>
      <c r="I24" s="0" t="str">
        <f aca="false">IF(AND(A24&lt;=$B$8,G23&lt;0,G24&gt;=0),A24-1+(-G23)/D24,"")</f>
        <v/>
      </c>
      <c r="J24" s="0" t="str">
        <f aca="false">IF(AND(A24&lt;=$B$8,H23&lt;0,H24&gt;=0),A24-1+(-H23)/F24,"")</f>
        <v/>
      </c>
    </row>
    <row r="25" customFormat="false" ht="15" hidden="false" customHeight="false" outlineLevel="0" collapsed="false">
      <c r="A25" s="22" t="n">
        <v>12</v>
      </c>
      <c r="B25" s="18"/>
      <c r="C25" s="18"/>
      <c r="D25" s="23" t="n">
        <f aca="false">IF(A25&lt;=$B$8,N(B25)-N(C25)+IF(A25=$B$8,$B$10,0),0)</f>
        <v>0</v>
      </c>
      <c r="E25" s="24" t="n">
        <f aca="false">IF(A25&lt;=$B$8,1/(1+$B$6)^A25,0)</f>
        <v>0</v>
      </c>
      <c r="F25" s="23" t="n">
        <f aca="false">D25*E25</f>
        <v>0</v>
      </c>
      <c r="G25" s="23" t="n">
        <f aca="false">G24+D25</f>
        <v>7550000</v>
      </c>
      <c r="H25" s="23" t="n">
        <f aca="false">H24+F25</f>
        <v>2266486.65972899</v>
      </c>
      <c r="I25" s="0" t="str">
        <f aca="false">IF(AND(A25&lt;=$B$8,G24&lt;0,G25&gt;=0),A25-1+(-G24)/D25,"")</f>
        <v/>
      </c>
      <c r="J25" s="0" t="str">
        <f aca="false">IF(AND(A25&lt;=$B$8,H24&lt;0,H25&gt;=0),A25-1+(-H24)/F25,"")</f>
        <v/>
      </c>
    </row>
    <row r="26" customFormat="false" ht="15" hidden="false" customHeight="false" outlineLevel="0" collapsed="false">
      <c r="A26" s="22" t="n">
        <v>13</v>
      </c>
      <c r="B26" s="18"/>
      <c r="C26" s="18"/>
      <c r="D26" s="23" t="n">
        <f aca="false">IF(A26&lt;=$B$8,N(B26)-N(C26)+IF(A26=$B$8,$B$10,0),0)</f>
        <v>0</v>
      </c>
      <c r="E26" s="24" t="n">
        <f aca="false">IF(A26&lt;=$B$8,1/(1+$B$6)^A26,0)</f>
        <v>0</v>
      </c>
      <c r="F26" s="23" t="n">
        <f aca="false">D26*E26</f>
        <v>0</v>
      </c>
      <c r="G26" s="23" t="n">
        <f aca="false">G25+D26</f>
        <v>7550000</v>
      </c>
      <c r="H26" s="23" t="n">
        <f aca="false">H25+F26</f>
        <v>2266486.65972899</v>
      </c>
      <c r="I26" s="0" t="str">
        <f aca="false">IF(AND(A26&lt;=$B$8,G25&lt;0,G26&gt;=0),A26-1+(-G25)/D26,"")</f>
        <v/>
      </c>
      <c r="J26" s="0" t="str">
        <f aca="false">IF(AND(A26&lt;=$B$8,H25&lt;0,H26&gt;=0),A26-1+(-H25)/F26,"")</f>
        <v/>
      </c>
    </row>
    <row r="27" customFormat="false" ht="15" hidden="false" customHeight="false" outlineLevel="0" collapsed="false">
      <c r="A27" s="22" t="n">
        <v>14</v>
      </c>
      <c r="B27" s="18"/>
      <c r="C27" s="18"/>
      <c r="D27" s="23" t="n">
        <f aca="false">IF(A27&lt;=$B$8,N(B27)-N(C27)+IF(A27=$B$8,$B$10,0),0)</f>
        <v>0</v>
      </c>
      <c r="E27" s="24" t="n">
        <f aca="false">IF(A27&lt;=$B$8,1/(1+$B$6)^A27,0)</f>
        <v>0</v>
      </c>
      <c r="F27" s="23" t="n">
        <f aca="false">D27*E27</f>
        <v>0</v>
      </c>
      <c r="G27" s="23" t="n">
        <f aca="false">G26+D27</f>
        <v>7550000</v>
      </c>
      <c r="H27" s="23" t="n">
        <f aca="false">H26+F27</f>
        <v>2266486.65972899</v>
      </c>
      <c r="I27" s="0" t="str">
        <f aca="false">IF(AND(A27&lt;=$B$8,G26&lt;0,G27&gt;=0),A27-1+(-G26)/D27,"")</f>
        <v/>
      </c>
      <c r="J27" s="0" t="str">
        <f aca="false">IF(AND(A27&lt;=$B$8,H26&lt;0,H27&gt;=0),A27-1+(-H26)/F27,"")</f>
        <v/>
      </c>
    </row>
    <row r="28" customFormat="false" ht="15" hidden="false" customHeight="false" outlineLevel="0" collapsed="false">
      <c r="A28" s="22" t="n">
        <v>15</v>
      </c>
      <c r="B28" s="18"/>
      <c r="C28" s="18"/>
      <c r="D28" s="23" t="n">
        <f aca="false">IF(A28&lt;=$B$8,N(B28)-N(C28)+IF(A28=$B$8,$B$10,0),0)</f>
        <v>0</v>
      </c>
      <c r="E28" s="24" t="n">
        <f aca="false">IF(A28&lt;=$B$8,1/(1+$B$6)^A28,0)</f>
        <v>0</v>
      </c>
      <c r="F28" s="23" t="n">
        <f aca="false">D28*E28</f>
        <v>0</v>
      </c>
      <c r="G28" s="23" t="n">
        <f aca="false">G27+D28</f>
        <v>7550000</v>
      </c>
      <c r="H28" s="23" t="n">
        <f aca="false">H27+F28</f>
        <v>2266486.65972899</v>
      </c>
      <c r="I28" s="0" t="str">
        <f aca="false">IF(AND(A28&lt;=$B$8,G27&lt;0,G28&gt;=0),A28-1+(-G27)/D28,"")</f>
        <v/>
      </c>
      <c r="J28" s="0" t="str">
        <f aca="false">IF(AND(A28&lt;=$B$8,H27&lt;0,H28&gt;=0),A28-1+(-H27)/F28,"")</f>
        <v/>
      </c>
    </row>
    <row r="30" customFormat="false" ht="19.5" hidden="false" customHeight="true" outlineLevel="0" collapsed="false">
      <c r="A30" s="9" t="s">
        <v>46</v>
      </c>
      <c r="B30" s="9"/>
      <c r="C30" s="9"/>
      <c r="D30" s="9"/>
      <c r="E30" s="9"/>
      <c r="F30" s="9"/>
      <c r="G30" s="9"/>
      <c r="H30" s="9"/>
    </row>
    <row r="31" customFormat="false" ht="30" hidden="false" customHeight="true" outlineLevel="0" collapsed="false">
      <c r="A31" s="21" t="s">
        <v>47</v>
      </c>
      <c r="B31" s="26" t="n">
        <v>-0.2</v>
      </c>
      <c r="C31" s="26" t="n">
        <v>-0.1</v>
      </c>
      <c r="D31" s="26" t="n">
        <v>0</v>
      </c>
      <c r="E31" s="26" t="n">
        <v>0.1</v>
      </c>
      <c r="F31" s="26" t="n">
        <v>0.2</v>
      </c>
      <c r="G31" s="21"/>
      <c r="H31" s="21"/>
    </row>
    <row r="32" customFormat="false" ht="15" hidden="false" customHeight="false" outlineLevel="0" collapsed="false">
      <c r="A32" s="27" t="n">
        <v>-0.2</v>
      </c>
      <c r="B32" s="23" t="n">
        <f aca="false">SUMPRODUCT((B14:B28*(1+B$31)-C14:C28*(1+$A32))*(A14:A28&lt;=$B$8),E14:E28)+$B$10*INDEX(E14:E28,$B$8)-$B$9</f>
        <v>861655.315140718</v>
      </c>
      <c r="C32" s="23" t="n">
        <f aca="false">SUMPRODUCT((B14:B28*(1+C$31)-C14:C28*(1+$A32))*(A14:A28&lt;=$B$8),E14:E28)+$B$10*INDEX(E14:E28,$B$8)-$B$9</f>
        <v>1982515.85173029</v>
      </c>
      <c r="D32" s="23" t="n">
        <f aca="false">SUMPRODUCT((B14:B28*(1+D$31)-C14:C28*(1+$A32))*(A14:A28&lt;=$B$8),E14:E28)+$B$10*INDEX(E14:E28,$B$8)-$B$9</f>
        <v>3103376.38831985</v>
      </c>
      <c r="E32" s="23" t="n">
        <f aca="false">SUMPRODUCT((B14:B28*(1+E$31)-C14:C28*(1+$A32))*(A14:A28&lt;=$B$8),E14:E28)+$B$10*INDEX(E14:E28,$B$8)-$B$9</f>
        <v>4224236.92490942</v>
      </c>
      <c r="F32" s="23" t="n">
        <f aca="false">SUMPRODUCT((B14:B28*(1+F$31)-C14:C28*(1+$A32))*(A14:A28&lt;=$B$8),E14:E28)+$B$10*INDEX(E14:E28,$B$8)-$B$9</f>
        <v>5345097.46149899</v>
      </c>
    </row>
    <row r="33" customFormat="false" ht="15" hidden="false" customHeight="false" outlineLevel="0" collapsed="false">
      <c r="A33" s="27" t="n">
        <v>-0.1</v>
      </c>
      <c r="B33" s="23" t="n">
        <f aca="false">SUMPRODUCT((B14:B28*(1+B$31)-C14:C28*(1+$A33))*(A14:A28&lt;=$B$8),E14:E28)+$B$10*INDEX(E14:E28,$B$8)-$B$9</f>
        <v>443210.450845287</v>
      </c>
      <c r="C33" s="23" t="n">
        <f aca="false">SUMPRODUCT((B14:B28*(1+C$31)-C14:C28*(1+$A33))*(A14:A28&lt;=$B$8),E14:E28)+$B$10*INDEX(E14:E28,$B$8)-$B$9</f>
        <v>1564070.98743485</v>
      </c>
      <c r="D33" s="23" t="n">
        <f aca="false">SUMPRODUCT((B14:B28*(1+D$31)-C14:C28*(1+$A33))*(A14:A28&lt;=$B$8),E14:E28)+$B$10*INDEX(E14:E28,$B$8)-$B$9</f>
        <v>2684931.52402442</v>
      </c>
      <c r="E33" s="23" t="n">
        <f aca="false">SUMPRODUCT((B14:B28*(1+E$31)-C14:C28*(1+$A33))*(A14:A28&lt;=$B$8),E14:E28)+$B$10*INDEX(E14:E28,$B$8)-$B$9</f>
        <v>3805792.06061399</v>
      </c>
      <c r="F33" s="23" t="n">
        <f aca="false">SUMPRODUCT((B14:B28*(1+F$31)-C14:C28*(1+$A33))*(A14:A28&lt;=$B$8),E14:E28)+$B$10*INDEX(E14:E28,$B$8)-$B$9</f>
        <v>4926652.59720356</v>
      </c>
    </row>
    <row r="34" customFormat="false" ht="15" hidden="false" customHeight="false" outlineLevel="0" collapsed="false">
      <c r="A34" s="27" t="n">
        <v>0</v>
      </c>
      <c r="B34" s="23" t="n">
        <f aca="false">SUMPRODUCT((B14:B28*(1+B$31)-C14:C28*(1+$A34))*(A14:A28&lt;=$B$8),E14:E28)+$B$10*INDEX(E14:E28,$B$8)-$B$9</f>
        <v>24765.5865498567</v>
      </c>
      <c r="C34" s="23" t="n">
        <f aca="false">SUMPRODUCT((B14:B28*(1+C$31)-C14:C28*(1+$A34))*(A14:A28&lt;=$B$8),E14:E28)+$B$10*INDEX(E14:E28,$B$8)-$B$9</f>
        <v>1145626.12313942</v>
      </c>
      <c r="D34" s="23" t="n">
        <f aca="false">SUMPRODUCT((B14:B28*(1+D$31)-C14:C28*(1+$A34))*(A14:A28&lt;=$B$8),E14:E28)+$B$10*INDEX(E14:E28,$B$8)-$B$9</f>
        <v>2266486.65972899</v>
      </c>
      <c r="E34" s="23" t="n">
        <f aca="false">SUMPRODUCT((B14:B28*(1+E$31)-C14:C28*(1+$A34))*(A14:A28&lt;=$B$8),E14:E28)+$B$10*INDEX(E14:E28,$B$8)-$B$9</f>
        <v>3387347.19631856</v>
      </c>
      <c r="F34" s="23" t="n">
        <f aca="false">SUMPRODUCT((B14:B28*(1+F$31)-C14:C28*(1+$A34))*(A14:A28&lt;=$B$8),E14:E28)+$B$10*INDEX(E14:E28,$B$8)-$B$9</f>
        <v>4508207.73290813</v>
      </c>
    </row>
    <row r="35" customFormat="false" ht="15" hidden="false" customHeight="false" outlineLevel="0" collapsed="false">
      <c r="A35" s="27" t="n">
        <v>0.1</v>
      </c>
      <c r="B35" s="23" t="n">
        <f aca="false">SUMPRODUCT((B14:B28*(1+B$31)-C14:C28*(1+$A35))*(A14:A28&lt;=$B$8),E14:E28)+$B$10*INDEX(E14:E28,$B$8)-$B$9</f>
        <v>-393679.277745574</v>
      </c>
      <c r="C35" s="23" t="n">
        <f aca="false">SUMPRODUCT((B14:B28*(1+C$31)-C14:C28*(1+$A35))*(A14:A28&lt;=$B$8),E14:E28)+$B$10*INDEX(E14:E28,$B$8)-$B$9</f>
        <v>727181.258843994</v>
      </c>
      <c r="D35" s="23" t="n">
        <f aca="false">SUMPRODUCT((B14:B28*(1+D$31)-C14:C28*(1+$A35))*(A14:A28&lt;=$B$8),E14:E28)+$B$10*INDEX(E14:E28,$B$8)-$B$9</f>
        <v>1848041.79543356</v>
      </c>
      <c r="E35" s="23" t="n">
        <f aca="false">SUMPRODUCT((B14:B28*(1+E$31)-C14:C28*(1+$A35))*(A14:A28&lt;=$B$8),E14:E28)+$B$10*INDEX(E14:E28,$B$8)-$B$9</f>
        <v>2968902.33202313</v>
      </c>
      <c r="F35" s="23" t="n">
        <f aca="false">SUMPRODUCT((B14:B28*(1+F$31)-C14:C28*(1+$A35))*(A14:A28&lt;=$B$8),E14:E28)+$B$10*INDEX(E14:E28,$B$8)-$B$9</f>
        <v>4089762.8686127</v>
      </c>
    </row>
    <row r="36" customFormat="false" ht="15" hidden="false" customHeight="false" outlineLevel="0" collapsed="false">
      <c r="A36" s="27" t="n">
        <v>0.2</v>
      </c>
      <c r="B36" s="23" t="n">
        <f aca="false">SUMPRODUCT((B14:B28*(1+B$31)-C14:C28*(1+$A36))*(A14:A28&lt;=$B$8),E14:E28)+$B$10*INDEX(E14:E28,$B$8)-$B$9</f>
        <v>-812124.142041003</v>
      </c>
      <c r="C36" s="23" t="n">
        <f aca="false">SUMPRODUCT((B14:B28*(1+C$31)-C14:C28*(1+$A36))*(A14:A28&lt;=$B$8),E14:E28)+$B$10*INDEX(E14:E28,$B$8)-$B$9</f>
        <v>308736.394548564</v>
      </c>
      <c r="D36" s="23" t="n">
        <f aca="false">SUMPRODUCT((B14:B28*(1+D$31)-C14:C28*(1+$A36))*(A14:A28&lt;=$B$8),E14:E28)+$B$10*INDEX(E14:E28,$B$8)-$B$9</f>
        <v>1429596.93113813</v>
      </c>
      <c r="E36" s="23" t="n">
        <f aca="false">SUMPRODUCT((B14:B28*(1+E$31)-C14:C28*(1+$A36))*(A14:A28&lt;=$B$8),E14:E28)+$B$10*INDEX(E14:E28,$B$8)-$B$9</f>
        <v>2550457.4677277</v>
      </c>
      <c r="F36" s="23" t="n">
        <f aca="false">SUMPRODUCT((B14:B28*(1+F$31)-C14:C28*(1+$A36))*(A14:A28&lt;=$B$8),E14:E28)+$B$10*INDEX(E14:E28,$B$8)-$B$9</f>
        <v>3671318.00431727</v>
      </c>
    </row>
    <row r="38" customFormat="false" ht="19.5" hidden="false" customHeight="true" outlineLevel="0" collapsed="false">
      <c r="A38" s="9" t="s">
        <v>48</v>
      </c>
      <c r="B38" s="9"/>
      <c r="C38" s="9"/>
      <c r="D38" s="9"/>
      <c r="E38" s="9"/>
      <c r="F38" s="9"/>
      <c r="G38" s="9"/>
      <c r="H38" s="9"/>
    </row>
    <row r="39" customFormat="false" ht="30" hidden="false" customHeight="true" outlineLevel="0" collapsed="false">
      <c r="A39" s="21" t="s">
        <v>49</v>
      </c>
      <c r="B39" s="21" t="s">
        <v>27</v>
      </c>
      <c r="C39" s="21"/>
      <c r="D39" s="21"/>
      <c r="E39" s="21"/>
      <c r="F39" s="21"/>
      <c r="G39" s="21"/>
      <c r="H39" s="21"/>
    </row>
    <row r="40" customFormat="false" ht="15" hidden="false" customHeight="false" outlineLevel="0" collapsed="false">
      <c r="A40" s="28" t="n">
        <v>0.06</v>
      </c>
      <c r="B40" s="23" t="n">
        <f aca="false">SUMPRODUCT(D14:D28,(A14:A28&lt;=$B$8)/(1+A40)^A14:A28)-$B$9</f>
        <v>4401305.16154633</v>
      </c>
    </row>
    <row r="41" customFormat="false" ht="15" hidden="false" customHeight="false" outlineLevel="0" collapsed="false">
      <c r="A41" s="28" t="n">
        <v>0.08</v>
      </c>
      <c r="B41" s="23" t="n">
        <f aca="false">SUMPRODUCT(D14:D28,(A14:A28&lt;=$B$8)/(1+A41)^A14:A28)-$B$9</f>
        <v>3599637.02864039</v>
      </c>
    </row>
    <row r="42" customFormat="false" ht="15" hidden="false" customHeight="false" outlineLevel="0" collapsed="false">
      <c r="A42" s="28" t="n">
        <v>0.1</v>
      </c>
      <c r="B42" s="23" t="n">
        <f aca="false">SUMPRODUCT(D14:D28,(A14:A28&lt;=$B$8)/(1+A42)^A14:A28)-$B$9</f>
        <v>2892483.04109219</v>
      </c>
    </row>
    <row r="43" customFormat="false" ht="15" hidden="false" customHeight="false" outlineLevel="0" collapsed="false">
      <c r="A43" s="28" t="n">
        <v>0.12</v>
      </c>
      <c r="B43" s="23" t="n">
        <f aca="false">SUMPRODUCT(D14:D28,(A14:A28&lt;=$B$8)/(1+A43)^A14:A28)-$B$9</f>
        <v>2266486.65972899</v>
      </c>
    </row>
    <row r="44" customFormat="false" ht="15" hidden="false" customHeight="false" outlineLevel="0" collapsed="false">
      <c r="A44" s="28" t="n">
        <v>0.14</v>
      </c>
      <c r="B44" s="23" t="n">
        <f aca="false">SUMPRODUCT(D14:D28,(A14:A28&lt;=$B$8)/(1+A44)^A14:A28)-$B$9</f>
        <v>1710437.68663949</v>
      </c>
    </row>
    <row r="45" customFormat="false" ht="15" hidden="false" customHeight="false" outlineLevel="0" collapsed="false">
      <c r="A45" s="28" t="n">
        <v>0.16</v>
      </c>
      <c r="B45" s="23" t="n">
        <f aca="false">SUMPRODUCT(D14:D28,(A14:A28&lt;=$B$8)/(1+A45)^A14:A28)-$B$9</f>
        <v>1214890.71080282</v>
      </c>
    </row>
    <row r="46" customFormat="false" ht="15" hidden="false" customHeight="false" outlineLevel="0" collapsed="false">
      <c r="A46" s="28" t="n">
        <v>0.18</v>
      </c>
      <c r="B46" s="23" t="n">
        <f aca="false">SUMPRODUCT(D14:D28,(A14:A28&lt;=$B$8)/(1+A46)^A14:A28)-$B$9</f>
        <v>771857.318938106</v>
      </c>
    </row>
    <row r="47" customFormat="false" ht="15" hidden="false" customHeight="false" outlineLevel="0" collapsed="false">
      <c r="A47" s="28" t="n">
        <v>0.2</v>
      </c>
      <c r="B47" s="23" t="n">
        <f aca="false">SUMPRODUCT(D14:D28,(A14:A28&lt;=$B$8)/(1+A47)^A14:A28)-$B$9</f>
        <v>374556.743922422</v>
      </c>
    </row>
    <row r="49" customFormat="false" ht="27.75" hidden="false" customHeight="true" outlineLevel="0" collapsed="false">
      <c r="A49" s="7" t="s">
        <v>20</v>
      </c>
      <c r="B49" s="7"/>
      <c r="C49" s="7"/>
      <c r="D49" s="7"/>
      <c r="E49" s="7"/>
      <c r="F49" s="7"/>
      <c r="G49" s="7"/>
      <c r="H49" s="7"/>
    </row>
  </sheetData>
  <sheetProtection sheet="true" password="9abc" formatColumns="false"/>
  <mergeCells count="24">
    <mergeCell ref="A1:H1"/>
    <mergeCell ref="A2:H2"/>
    <mergeCell ref="A3:H3"/>
    <mergeCell ref="A4:D4"/>
    <mergeCell ref="E4:H4"/>
    <mergeCell ref="B5:D5"/>
    <mergeCell ref="E5:F5"/>
    <mergeCell ref="G5:H5"/>
    <mergeCell ref="E6:F6"/>
    <mergeCell ref="G6:H6"/>
    <mergeCell ref="E7:F7"/>
    <mergeCell ref="G7:H7"/>
    <mergeCell ref="E8:F8"/>
    <mergeCell ref="G8:H8"/>
    <mergeCell ref="E9:F9"/>
    <mergeCell ref="G9:H9"/>
    <mergeCell ref="E10:F10"/>
    <mergeCell ref="G10:H10"/>
    <mergeCell ref="A11:H11"/>
    <mergeCell ref="E11:F11"/>
    <mergeCell ref="G11:H11"/>
    <mergeCell ref="A30:H30"/>
    <mergeCell ref="A38:H38"/>
    <mergeCell ref="A49:H49"/>
  </mergeCells>
  <dataValidations count="1">
    <dataValidation allowBlank="false" error="أدخل رقماً بين 1 و15" errorStyle="stop" operator="between" showDropDown="false" showErrorMessage="true" showInputMessage="false" sqref="B8" type="whole">
      <formula1>1</formula1>
      <formula2>15</formula2>
    </dataValidation>
  </dataValidations>
  <printOptions headings="false" gridLines="false" gridLinesSet="true" horizontalCentered="true" verticalCentered="false"/>
  <pageMargins left="0.75" right="0.75" top="1" bottom="1" header="0.511811023622047" footer="0.511811023622047"/>
  <pageSetup paperSize="9" scale="100" fitToWidth="1" fitToHeight="0"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I37"/>
  <sheetViews>
    <sheetView showFormulas="false" showGridLines="false" showRowColHeaders="true" showZeros="true" rightToLeft="tru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2"/>
    <col collapsed="false" customWidth="true" hidden="false" outlineLevel="0" max="3" min="2" style="0" width="18"/>
    <col collapsed="false" customWidth="true" hidden="false" outlineLevel="0" max="4" min="4" style="0" width="4"/>
    <col collapsed="false" customWidth="true" hidden="false" outlineLevel="0" max="5" min="5" style="0" width="22"/>
    <col collapsed="false" customWidth="true" hidden="false" outlineLevel="0" max="6" min="6" style="0" width="18"/>
    <col collapsed="false" customWidth="true" hidden="true" outlineLevel="0" max="9" min="8" style="0" width="13"/>
  </cols>
  <sheetData>
    <row r="1" customFormat="false" ht="33.75" hidden="false" customHeight="true" outlineLevel="0" collapsed="false">
      <c r="A1" s="1" t="s">
        <v>50</v>
      </c>
      <c r="B1" s="1"/>
      <c r="C1" s="1"/>
      <c r="D1" s="1"/>
      <c r="E1" s="1"/>
      <c r="F1" s="1"/>
    </row>
    <row r="2" customFormat="false" ht="15" hidden="false" customHeight="true" outlineLevel="0" collapsed="false">
      <c r="A2" s="2" t="s">
        <v>1</v>
      </c>
      <c r="B2" s="2"/>
      <c r="C2" s="2"/>
      <c r="D2" s="2"/>
      <c r="E2" s="2"/>
      <c r="F2" s="2"/>
    </row>
    <row r="3" customFormat="false" ht="30" hidden="false" customHeight="true" outlineLevel="0" collapsed="false">
      <c r="A3" s="29" t="s">
        <v>51</v>
      </c>
      <c r="B3" s="29"/>
      <c r="C3" s="29"/>
      <c r="D3" s="29"/>
      <c r="E3" s="29"/>
      <c r="F3" s="29"/>
    </row>
    <row r="4" customFormat="false" ht="15" hidden="false" customHeight="true" outlineLevel="0" collapsed="false">
      <c r="A4" s="8" t="s">
        <v>22</v>
      </c>
      <c r="B4" s="8"/>
      <c r="C4" s="8"/>
      <c r="D4" s="8"/>
      <c r="E4" s="8"/>
      <c r="F4" s="8"/>
    </row>
    <row r="5" customFormat="false" ht="15" hidden="false" customHeight="false" outlineLevel="0" collapsed="false">
      <c r="A5" s="12" t="s">
        <v>49</v>
      </c>
      <c r="B5" s="14" t="n">
        <v>0.12</v>
      </c>
    </row>
    <row r="7" customFormat="false" ht="30" hidden="false" customHeight="true" outlineLevel="0" collapsed="false">
      <c r="A7" s="21" t="s">
        <v>38</v>
      </c>
      <c r="B7" s="21" t="s">
        <v>52</v>
      </c>
      <c r="C7" s="21" t="s">
        <v>53</v>
      </c>
      <c r="E7" s="21" t="s">
        <v>54</v>
      </c>
      <c r="F7" s="21" t="s">
        <v>55</v>
      </c>
    </row>
    <row r="8" customFormat="false" ht="15" hidden="false" customHeight="false" outlineLevel="0" collapsed="false">
      <c r="A8" s="22" t="n">
        <v>0</v>
      </c>
      <c r="B8" s="18" t="n">
        <v>-3000000</v>
      </c>
      <c r="C8" s="18" t="n">
        <v>-3000000</v>
      </c>
      <c r="E8" s="12" t="s">
        <v>56</v>
      </c>
      <c r="F8" s="13" t="n">
        <f aca="false">NPV($B$5,B9:B18)+B8</f>
        <v>686029.839687332</v>
      </c>
    </row>
    <row r="9" customFormat="false" ht="15" hidden="false" customHeight="false" outlineLevel="0" collapsed="false">
      <c r="A9" s="22" t="n">
        <v>1</v>
      </c>
      <c r="B9" s="18" t="n">
        <v>1200000</v>
      </c>
      <c r="C9" s="18" t="n">
        <v>300000</v>
      </c>
      <c r="E9" s="12" t="s">
        <v>57</v>
      </c>
      <c r="F9" s="13" t="n">
        <f aca="false">NPV($B$5,C9:C18)+C8</f>
        <v>1140173.97930463</v>
      </c>
      <c r="H9" s="0" t="str">
        <f aca="false">IF(AND(SUM(B$8:B8)&lt;0,SUM(B$8:B9)&gt;=0),A9-1+(-SUM(B$8:B8))/B9,"")</f>
        <v/>
      </c>
      <c r="I9" s="0" t="str">
        <f aca="false">IF(AND(SUM(C$8:C8)&lt;0,SUM(C$8:C9)&gt;=0),A9-1+(-SUM(C$8:C8))/C9,"")</f>
        <v/>
      </c>
    </row>
    <row r="10" customFormat="false" ht="15" hidden="false" customHeight="false" outlineLevel="0" collapsed="false">
      <c r="A10" s="22" t="n">
        <v>2</v>
      </c>
      <c r="B10" s="18" t="n">
        <v>1100000</v>
      </c>
      <c r="C10" s="18" t="n">
        <v>600000</v>
      </c>
      <c r="E10" s="12" t="s">
        <v>58</v>
      </c>
      <c r="F10" s="15" t="n">
        <f aca="false">IFERROR(IRR(B8:B18),"")</f>
        <v>0.215908554004923</v>
      </c>
      <c r="H10" s="0" t="str">
        <f aca="false">IF(AND(SUM(B$8:B9)&lt;0,SUM(B$8:B10)&gt;=0),A10-1+(-SUM(B$8:B9))/B10,"")</f>
        <v/>
      </c>
      <c r="I10" s="0" t="str">
        <f aca="false">IF(AND(SUM(C$8:C9)&lt;0,SUM(C$8:C10)&gt;=0),A10-1+(-SUM(C$8:C9))/C10,"")</f>
        <v/>
      </c>
    </row>
    <row r="11" customFormat="false" ht="15" hidden="false" customHeight="false" outlineLevel="0" collapsed="false">
      <c r="A11" s="22" t="n">
        <v>3</v>
      </c>
      <c r="B11" s="18" t="n">
        <v>1000000</v>
      </c>
      <c r="C11" s="18" t="n">
        <v>900000</v>
      </c>
      <c r="E11" s="12" t="s">
        <v>59</v>
      </c>
      <c r="F11" s="15" t="n">
        <f aca="false">IFERROR(IRR(C8:C18),"")</f>
        <v>0.213379017045748</v>
      </c>
      <c r="H11" s="25" t="n">
        <f aca="false">IF(AND(SUM(B$8:B10)&lt;0,SUM(B$8:B11)&gt;=0),A11-1+(-SUM(B$8:B10))/B11,"")</f>
        <v>2.7</v>
      </c>
      <c r="I11" s="0" t="str">
        <f aca="false">IF(AND(SUM(C$8:C10)&lt;0,SUM(C$8:C11)&gt;=0),A11-1+(-SUM(C$8:C10))/C11,"")</f>
        <v/>
      </c>
    </row>
    <row r="12" customFormat="false" ht="15" hidden="false" customHeight="false" outlineLevel="0" collapsed="false">
      <c r="A12" s="22" t="n">
        <v>4</v>
      </c>
      <c r="B12" s="18" t="n">
        <v>900000</v>
      </c>
      <c r="C12" s="18" t="n">
        <v>1300000</v>
      </c>
      <c r="E12" s="12" t="s">
        <v>60</v>
      </c>
      <c r="F12" s="17" t="n">
        <f aca="false">IFERROR(NPV($B$5,B9:B18)/-B8,"")</f>
        <v>1.22867661322911</v>
      </c>
      <c r="H12" s="0" t="str">
        <f aca="false">IF(AND(SUM(B$8:B11)&lt;0,SUM(B$8:B12)&gt;=0),A12-1+(-SUM(B$8:B11))/B12,"")</f>
        <v/>
      </c>
      <c r="I12" s="25" t="n">
        <f aca="false">IF(AND(SUM(C$8:C11)&lt;0,SUM(C$8:C12)&gt;=0),A12-1+(-SUM(C$8:C11))/C12,"")</f>
        <v>3.92307692307692</v>
      </c>
    </row>
    <row r="13" customFormat="false" ht="15" hidden="false" customHeight="false" outlineLevel="0" collapsed="false">
      <c r="A13" s="22" t="n">
        <v>5</v>
      </c>
      <c r="B13" s="18" t="n">
        <v>800000</v>
      </c>
      <c r="C13" s="18" t="n">
        <v>1700000</v>
      </c>
      <c r="E13" s="12" t="s">
        <v>61</v>
      </c>
      <c r="F13" s="17" t="n">
        <f aca="false">IFERROR(NPV($B$5,C9:C18)/-C8,"")</f>
        <v>1.38005799310154</v>
      </c>
      <c r="H13" s="0" t="str">
        <f aca="false">IF(AND(SUM(B$8:B12)&lt;0,SUM(B$8:B13)&gt;=0),A13-1+(-SUM(B$8:B12))/B13,"")</f>
        <v/>
      </c>
      <c r="I13" s="0" t="str">
        <f aca="false">IF(AND(SUM(C$8:C12)&lt;0,SUM(C$8:C13)&gt;=0),A13-1+(-SUM(C$8:C12))/C13,"")</f>
        <v/>
      </c>
    </row>
    <row r="14" customFormat="false" ht="15" hidden="false" customHeight="false" outlineLevel="0" collapsed="false">
      <c r="A14" s="22" t="n">
        <v>6</v>
      </c>
      <c r="B14" s="18" t="n">
        <v>0</v>
      </c>
      <c r="C14" s="18" t="n">
        <v>1900000</v>
      </c>
      <c r="E14" s="12" t="s">
        <v>62</v>
      </c>
      <c r="F14" s="19" t="n">
        <f aca="false">IF(COUNT(H9:H18)=0,"لا يُسترد",MIN(H9:H18))</f>
        <v>2.7</v>
      </c>
      <c r="H14" s="0" t="str">
        <f aca="false">IF(AND(SUM(B$8:B13)&lt;0,SUM(B$8:B14)&gt;=0),A14-1+(-SUM(B$8:B13))/B14,"")</f>
        <v/>
      </c>
      <c r="I14" s="0" t="str">
        <f aca="false">IF(AND(SUM(C$8:C13)&lt;0,SUM(C$8:C14)&gt;=0),A14-1+(-SUM(C$8:C13))/C14,"")</f>
        <v/>
      </c>
    </row>
    <row r="15" customFormat="false" ht="15" hidden="false" customHeight="false" outlineLevel="0" collapsed="false">
      <c r="A15" s="22" t="n">
        <v>7</v>
      </c>
      <c r="B15" s="18" t="n">
        <v>0</v>
      </c>
      <c r="C15" s="18" t="n">
        <v>0</v>
      </c>
      <c r="E15" s="12" t="s">
        <v>63</v>
      </c>
      <c r="F15" s="19" t="n">
        <f aca="false">IF(COUNT(I9:I18)=0,"لا يُسترد",MIN(I9:I18))</f>
        <v>3.92307692307692</v>
      </c>
      <c r="H15" s="0" t="str">
        <f aca="false">IF(AND(SUM(B$8:B14)&lt;0,SUM(B$8:B15)&gt;=0),A15-1+(-SUM(B$8:B14))/B15,"")</f>
        <v/>
      </c>
      <c r="I15" s="0" t="str">
        <f aca="false">IF(AND(SUM(C$8:C14)&lt;0,SUM(C$8:C15)&gt;=0),A15-1+(-SUM(C$8:C14))/C15,"")</f>
        <v/>
      </c>
    </row>
    <row r="16" customFormat="false" ht="15" hidden="false" customHeight="false" outlineLevel="0" collapsed="false">
      <c r="A16" s="22" t="n">
        <v>8</v>
      </c>
      <c r="B16" s="18" t="n">
        <v>0</v>
      </c>
      <c r="C16" s="18" t="n">
        <v>0</v>
      </c>
      <c r="H16" s="0" t="str">
        <f aca="false">IF(AND(SUM(B$8:B15)&lt;0,SUM(B$8:B16)&gt;=0),A16-1+(-SUM(B$8:B15))/B16,"")</f>
        <v/>
      </c>
      <c r="I16" s="0" t="str">
        <f aca="false">IF(AND(SUM(C$8:C15)&lt;0,SUM(C$8:C16)&gt;=0),A16-1+(-SUM(C$8:C15))/C16,"")</f>
        <v/>
      </c>
    </row>
    <row r="17" customFormat="false" ht="15" hidden="false" customHeight="false" outlineLevel="0" collapsed="false">
      <c r="A17" s="22" t="n">
        <v>9</v>
      </c>
      <c r="B17" s="18" t="n">
        <v>0</v>
      </c>
      <c r="C17" s="18" t="n">
        <v>0</v>
      </c>
      <c r="E17" s="30" t="str">
        <f aca="false">IF(F8&gt;F9,"على أساس صافي القيمة الحالية: المشروع (أ) أفضل",IF(F9&gt;F8,"على أساس صافي القيمة الحالية: المشروع (ب) أفضل","المشروعان متساويان في صافي القيمة الحالية"))</f>
        <v>على أساس صافي القيمة الحالية: المشروع (ب) أفضل</v>
      </c>
      <c r="F17" s="30"/>
      <c r="H17" s="0" t="str">
        <f aca="false">IF(AND(SUM(B$8:B16)&lt;0,SUM(B$8:B17)&gt;=0),A17-1+(-SUM(B$8:B16))/B17,"")</f>
        <v/>
      </c>
      <c r="I17" s="0" t="str">
        <f aca="false">IF(AND(SUM(C$8:C16)&lt;0,SUM(C$8:C17)&gt;=0),A17-1+(-SUM(C$8:C16))/C17,"")</f>
        <v/>
      </c>
    </row>
    <row r="18" customFormat="false" ht="30" hidden="false" customHeight="true" outlineLevel="0" collapsed="false">
      <c r="A18" s="22" t="n">
        <v>10</v>
      </c>
      <c r="B18" s="18" t="n">
        <v>0</v>
      </c>
      <c r="C18" s="18" t="n">
        <v>0</v>
      </c>
      <c r="E18" s="31" t="str">
        <f aca="false">IF(AND(ISNUMBER(F10),ISNUMBER(F11)),IF((F8&gt;F9)&lt;&gt;(F10&gt;F11),"تنبيه: معدل العائد الداخلي يرجّح مشروعاً غير الذي يرجّحه صافي القيمة الحالية. اعتمد صافي القيمة الحالية في هذه الحالة.","المؤشران يتفقان على المشروع نفسه."),"")</f>
        <v>تنبيه: معدل العائد الداخلي يرجّح مشروعاً غير الذي يرجّحه صافي القيمة الحالية. اعتمد صافي القيمة الحالية في هذه الحالة.</v>
      </c>
      <c r="F18" s="31"/>
      <c r="H18" s="0" t="str">
        <f aca="false">IF(AND(SUM(B$8:B17)&lt;0,SUM(B$8:B18)&gt;=0),A18-1+(-SUM(B$8:B17))/B18,"")</f>
        <v/>
      </c>
      <c r="I18" s="0" t="str">
        <f aca="false">IF(AND(SUM(C$8:C17)&lt;0,SUM(C$8:C18)&gt;=0),A18-1+(-SUM(C$8:C17))/C18,"")</f>
        <v/>
      </c>
    </row>
    <row r="19" customFormat="false" ht="15" hidden="false" customHeight="false" outlineLevel="0" collapsed="false">
      <c r="E19" s="31"/>
      <c r="F19" s="31"/>
    </row>
    <row r="21" customFormat="false" ht="19.5" hidden="false" customHeight="true" outlineLevel="0" collapsed="false">
      <c r="A21" s="9" t="s">
        <v>48</v>
      </c>
      <c r="B21" s="9"/>
      <c r="C21" s="9"/>
    </row>
    <row r="22" customFormat="false" ht="30" hidden="false" customHeight="true" outlineLevel="0" collapsed="false">
      <c r="A22" s="21" t="s">
        <v>49</v>
      </c>
      <c r="B22" s="21" t="s">
        <v>52</v>
      </c>
      <c r="C22" s="21" t="s">
        <v>53</v>
      </c>
    </row>
    <row r="23" customFormat="false" ht="15" hidden="false" customHeight="false" outlineLevel="0" collapsed="false">
      <c r="A23" s="28" t="n">
        <v>0</v>
      </c>
      <c r="B23" s="23" t="n">
        <f aca="false">NPV(A23,B$9:B$18)+B$8</f>
        <v>2000000</v>
      </c>
      <c r="C23" s="23" t="n">
        <f aca="false">NPV(A23,C$9:C$18)+C$8</f>
        <v>3700000</v>
      </c>
    </row>
    <row r="24" customFormat="false" ht="15" hidden="false" customHeight="false" outlineLevel="0" collapsed="false">
      <c r="A24" s="28" t="n">
        <v>0.025</v>
      </c>
      <c r="B24" s="23" t="n">
        <f aca="false">NPV(A24,B$9:B$18)+B$8</f>
        <v>1668765.96445623</v>
      </c>
      <c r="C24" s="23" t="n">
        <f aca="false">NPV(A24,C$9:C$18)+C$8</f>
        <v>3018163.20687351</v>
      </c>
    </row>
    <row r="25" customFormat="false" ht="15" hidden="false" customHeight="false" outlineLevel="0" collapsed="false">
      <c r="A25" s="28" t="n">
        <v>0.05</v>
      </c>
      <c r="B25" s="23" t="n">
        <f aca="false">NPV(A25,B$9:B$18)+B$8</f>
        <v>1371680.32817993</v>
      </c>
      <c r="C25" s="23" t="n">
        <f aca="false">NPV(A25,C$9:C$18)+C$8</f>
        <v>2426702.76530286</v>
      </c>
    </row>
    <row r="26" customFormat="false" ht="15" hidden="false" customHeight="false" outlineLevel="0" collapsed="false">
      <c r="A26" s="28" t="n">
        <v>0.075</v>
      </c>
      <c r="B26" s="23" t="n">
        <f aca="false">NPV(A26,B$9:B$18)+B$8</f>
        <v>1104272.89540098</v>
      </c>
      <c r="C26" s="23" t="n">
        <f aca="false">NPV(A26,C$9:C$18)+C$8</f>
        <v>1911451.09612261</v>
      </c>
    </row>
    <row r="27" customFormat="false" ht="15" hidden="false" customHeight="false" outlineLevel="0" collapsed="false">
      <c r="A27" s="28" t="n">
        <v>0.1</v>
      </c>
      <c r="B27" s="23" t="n">
        <f aca="false">NPV(A27,B$9:B$18)+B$8</f>
        <v>862763.969177465</v>
      </c>
      <c r="C27" s="23" t="n">
        <f aca="false">NPV(A27,C$9:C$18)+C$8</f>
        <v>1460762.57041107</v>
      </c>
    </row>
    <row r="28" customFormat="false" ht="15" hidden="false" customHeight="false" outlineLevel="0" collapsed="false">
      <c r="A28" s="28" t="n">
        <v>0.125</v>
      </c>
      <c r="B28" s="23" t="n">
        <f aca="false">NPV(A28,B$9:B$18)+B$8</f>
        <v>643943.165845315</v>
      </c>
      <c r="C28" s="23" t="n">
        <f aca="false">NPV(A28,C$9:C$18)+C$8</f>
        <v>1065015.68377299</v>
      </c>
    </row>
    <row r="29" customFormat="false" ht="15" hidden="false" customHeight="false" outlineLevel="0" collapsed="false">
      <c r="A29" s="28" t="n">
        <v>0.15</v>
      </c>
      <c r="B29" s="23" t="n">
        <f aca="false">NPV(A29,B$9:B$18)+B$8</f>
        <v>445071.836600381</v>
      </c>
      <c r="C29" s="23" t="n">
        <f aca="false">NPV(A29,C$9:C$18)+C$8</f>
        <v>716222.476294247</v>
      </c>
    </row>
    <row r="30" customFormat="false" ht="15" hidden="false" customHeight="false" outlineLevel="0" collapsed="false">
      <c r="A30" s="28" t="n">
        <v>0.175</v>
      </c>
      <c r="B30" s="23" t="n">
        <f aca="false">NPV(A30,B$9:B$18)+B$8</f>
        <v>263804.07313598</v>
      </c>
      <c r="C30" s="23" t="n">
        <f aca="false">NPV(A30,C$9:C$18)+C$8</f>
        <v>407720.276741861</v>
      </c>
    </row>
    <row r="31" customFormat="false" ht="15" hidden="false" customHeight="false" outlineLevel="0" collapsed="false">
      <c r="A31" s="28" t="n">
        <v>0.2</v>
      </c>
      <c r="B31" s="23" t="n">
        <f aca="false">NPV(A31,B$9:B$18)+B$8</f>
        <v>98122.4279835392</v>
      </c>
      <c r="C31" s="23" t="n">
        <f aca="false">NPV(A31,C$9:C$18)+C$8</f>
        <v>133927.040466393</v>
      </c>
    </row>
    <row r="32" customFormat="false" ht="15" hidden="false" customHeight="false" outlineLevel="0" collapsed="false">
      <c r="A32" s="28" t="n">
        <v>0.225</v>
      </c>
      <c r="B32" s="23" t="n">
        <f aca="false">NPV(A32,B$9:B$18)+B$8</f>
        <v>-53714.6495266925</v>
      </c>
      <c r="C32" s="23" t="n">
        <f aca="false">NPV(A32,C$9:C$18)+C$8</f>
        <v>-109853.890965441</v>
      </c>
    </row>
    <row r="33" customFormat="false" ht="15" hidden="false" customHeight="false" outlineLevel="0" collapsed="false">
      <c r="A33" s="28" t="n">
        <v>0.25</v>
      </c>
      <c r="B33" s="23" t="n">
        <f aca="false">NPV(A33,B$9:B$18)+B$8</f>
        <v>-193216</v>
      </c>
      <c r="C33" s="23" t="n">
        <f aca="false">NPV(A33,C$9:C$18)+C$8</f>
        <v>-327590.4</v>
      </c>
    </row>
    <row r="34" customFormat="false" ht="15" hidden="false" customHeight="false" outlineLevel="0" collapsed="false">
      <c r="A34" s="28" t="n">
        <v>0.275</v>
      </c>
      <c r="B34" s="23" t="n">
        <f aca="false">NPV(A34,B$9:B$18)+B$8</f>
        <v>-321693.396869668</v>
      </c>
      <c r="C34" s="23" t="n">
        <f aca="false">NPV(A34,C$9:C$18)+C$8</f>
        <v>-522647.841124611</v>
      </c>
    </row>
    <row r="35" customFormat="false" ht="15" hidden="false" customHeight="false" outlineLevel="0" collapsed="false">
      <c r="A35" s="28" t="n">
        <v>0.3</v>
      </c>
      <c r="B35" s="23" t="n">
        <f aca="false">NPV(A35,B$9:B$18)+B$8</f>
        <v>-440291.09086355</v>
      </c>
      <c r="C35" s="23" t="n">
        <f aca="false">NPV(A35,C$9:C$18)+C$8</f>
        <v>-697891.298371243</v>
      </c>
    </row>
    <row r="37" customFormat="false" ht="27.75" hidden="false" customHeight="true" outlineLevel="0" collapsed="false">
      <c r="A37" s="7" t="s">
        <v>20</v>
      </c>
      <c r="B37" s="7"/>
      <c r="C37" s="7"/>
      <c r="D37" s="7"/>
      <c r="E37" s="7"/>
      <c r="F37" s="7"/>
    </row>
  </sheetData>
  <sheetProtection sheet="true" password="9abc" formatColumns="false"/>
  <mergeCells count="8">
    <mergeCell ref="A1:F1"/>
    <mergeCell ref="A2:F2"/>
    <mergeCell ref="A3:F3"/>
    <mergeCell ref="A4:F4"/>
    <mergeCell ref="E17:F17"/>
    <mergeCell ref="E18:F19"/>
    <mergeCell ref="A21:C21"/>
    <mergeCell ref="A37:F37"/>
  </mergeCells>
  <printOptions headings="false" gridLines="false" gridLinesSet="true" horizontalCentered="true" verticalCentered="false"/>
  <pageMargins left="0.75" right="0.75" top="1" bottom="1" header="0.511811023622047" footer="0.511811023622047"/>
  <pageSetup paperSize="9" scale="100" fitToWidth="1" fitToHeight="0" pageOrder="downThenOver" orientation="portrait"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31"/>
  <sheetViews>
    <sheetView showFormulas="false" showGridLines="false" showRowColHeaders="true" showZeros="true" rightToLeft="tru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6"/>
    <col collapsed="false" customWidth="true" hidden="false" outlineLevel="0" max="2" min="2" style="0" width="18"/>
    <col collapsed="false" customWidth="true" hidden="false" outlineLevel="0" max="3" min="3" style="0" width="46"/>
  </cols>
  <sheetData>
    <row r="1" customFormat="false" ht="33.75" hidden="false" customHeight="true" outlineLevel="0" collapsed="false">
      <c r="A1" s="1" t="s">
        <v>64</v>
      </c>
      <c r="B1" s="1"/>
      <c r="C1" s="1"/>
    </row>
    <row r="2" customFormat="false" ht="15" hidden="false" customHeight="true" outlineLevel="0" collapsed="false">
      <c r="A2" s="2" t="s">
        <v>1</v>
      </c>
      <c r="B2" s="2"/>
      <c r="C2" s="2"/>
    </row>
    <row r="3" customFormat="false" ht="30" hidden="false" customHeight="true" outlineLevel="0" collapsed="false">
      <c r="A3" s="29" t="s">
        <v>65</v>
      </c>
      <c r="B3" s="29"/>
      <c r="C3" s="29"/>
    </row>
    <row r="4" customFormat="false" ht="15" hidden="false" customHeight="true" outlineLevel="0" collapsed="false">
      <c r="A4" s="8" t="s">
        <v>22</v>
      </c>
      <c r="B4" s="8"/>
      <c r="C4" s="8"/>
    </row>
    <row r="5" customFormat="false" ht="19.5" hidden="false" customHeight="true" outlineLevel="0" collapsed="false">
      <c r="A5" s="9" t="s">
        <v>66</v>
      </c>
      <c r="B5" s="9"/>
      <c r="C5" s="9"/>
    </row>
    <row r="6" customFormat="false" ht="15" hidden="false" customHeight="false" outlineLevel="0" collapsed="false">
      <c r="A6" s="10" t="s">
        <v>67</v>
      </c>
      <c r="B6" s="18" t="n">
        <v>6000000</v>
      </c>
      <c r="C6" s="32" t="s">
        <v>68</v>
      </c>
    </row>
    <row r="7" customFormat="false" ht="15" hidden="false" customHeight="false" outlineLevel="0" collapsed="false">
      <c r="A7" s="10" t="s">
        <v>69</v>
      </c>
      <c r="B7" s="18" t="n">
        <v>4000000</v>
      </c>
      <c r="C7" s="32" t="s">
        <v>70</v>
      </c>
    </row>
    <row r="8" customFormat="false" ht="19.5" hidden="false" customHeight="true" outlineLevel="0" collapsed="false">
      <c r="A8" s="9" t="s">
        <v>71</v>
      </c>
      <c r="B8" s="9"/>
      <c r="C8" s="9"/>
    </row>
    <row r="9" customFormat="false" ht="15" hidden="false" customHeight="false" outlineLevel="0" collapsed="false">
      <c r="A9" s="10" t="s">
        <v>72</v>
      </c>
      <c r="B9" s="14" t="n">
        <v>0.075</v>
      </c>
      <c r="C9" s="32" t="s">
        <v>73</v>
      </c>
    </row>
    <row r="10" customFormat="false" ht="22.35" hidden="false" customHeight="false" outlineLevel="0" collapsed="false">
      <c r="A10" s="10" t="s">
        <v>74</v>
      </c>
      <c r="B10" s="14" t="n">
        <v>0.2</v>
      </c>
      <c r="C10" s="32" t="s">
        <v>75</v>
      </c>
    </row>
    <row r="11" customFormat="false" ht="19.5" hidden="false" customHeight="true" outlineLevel="0" collapsed="false">
      <c r="A11" s="9" t="s">
        <v>76</v>
      </c>
      <c r="B11" s="9"/>
      <c r="C11" s="9"/>
    </row>
    <row r="12" customFormat="false" ht="15" hidden="false" customHeight="false" outlineLevel="0" collapsed="false">
      <c r="A12" s="10" t="s">
        <v>77</v>
      </c>
      <c r="B12" s="14" t="n">
        <v>0.05</v>
      </c>
      <c r="C12" s="32" t="s">
        <v>78</v>
      </c>
    </row>
    <row r="13" customFormat="false" ht="15" hidden="false" customHeight="false" outlineLevel="0" collapsed="false">
      <c r="A13" s="10" t="s">
        <v>79</v>
      </c>
      <c r="B13" s="33" t="n">
        <v>1.1</v>
      </c>
      <c r="C13" s="32" t="s">
        <v>80</v>
      </c>
    </row>
    <row r="14" customFormat="false" ht="15" hidden="false" customHeight="false" outlineLevel="0" collapsed="false">
      <c r="A14" s="10" t="s">
        <v>81</v>
      </c>
      <c r="B14" s="14" t="n">
        <v>0.11</v>
      </c>
      <c r="C14" s="32"/>
    </row>
    <row r="15" customFormat="false" ht="19.5" hidden="false" customHeight="true" outlineLevel="0" collapsed="false">
      <c r="A15" s="9" t="s">
        <v>82</v>
      </c>
      <c r="B15" s="9"/>
      <c r="C15" s="9"/>
    </row>
    <row r="16" customFormat="false" ht="15" hidden="false" customHeight="false" outlineLevel="0" collapsed="false">
      <c r="A16" s="10" t="s">
        <v>83</v>
      </c>
      <c r="B16" s="34" t="n">
        <v>1.2</v>
      </c>
      <c r="C16" s="32"/>
    </row>
    <row r="17" customFormat="false" ht="15" hidden="false" customHeight="false" outlineLevel="0" collapsed="false">
      <c r="A17" s="10" t="s">
        <v>84</v>
      </c>
      <c r="B17" s="34" t="n">
        <v>20</v>
      </c>
      <c r="C17" s="32"/>
    </row>
    <row r="18" customFormat="false" ht="15" hidden="false" customHeight="false" outlineLevel="0" collapsed="false">
      <c r="A18" s="10" t="s">
        <v>85</v>
      </c>
      <c r="B18" s="14" t="n">
        <v>0.04</v>
      </c>
      <c r="C18" s="32"/>
    </row>
    <row r="19" customFormat="false" ht="19.5" hidden="false" customHeight="true" outlineLevel="0" collapsed="false">
      <c r="A19" s="9" t="s">
        <v>86</v>
      </c>
      <c r="B19" s="9"/>
      <c r="C19" s="9"/>
    </row>
    <row r="20" customFormat="false" ht="15" hidden="false" customHeight="false" outlineLevel="0" collapsed="false">
      <c r="A20" s="10" t="s">
        <v>87</v>
      </c>
      <c r="B20" s="16" t="n">
        <v>1</v>
      </c>
      <c r="C20" s="32" t="s">
        <v>88</v>
      </c>
    </row>
    <row r="21" customFormat="false" ht="19.5" hidden="false" customHeight="true" outlineLevel="0" collapsed="false">
      <c r="A21" s="9" t="s">
        <v>24</v>
      </c>
      <c r="B21" s="9"/>
      <c r="C21" s="9"/>
    </row>
    <row r="22" customFormat="false" ht="15" hidden="false" customHeight="false" outlineLevel="0" collapsed="false">
      <c r="A22" s="12" t="s">
        <v>89</v>
      </c>
      <c r="B22" s="35" t="n">
        <f aca="false">B6/(B6+B7)</f>
        <v>0.6</v>
      </c>
    </row>
    <row r="23" customFormat="false" ht="15" hidden="false" customHeight="false" outlineLevel="0" collapsed="false">
      <c r="A23" s="12" t="s">
        <v>90</v>
      </c>
      <c r="B23" s="35" t="n">
        <f aca="false">B7/(B6+B7)</f>
        <v>0.4</v>
      </c>
    </row>
    <row r="24" customFormat="false" ht="15" hidden="false" customHeight="false" outlineLevel="0" collapsed="false">
      <c r="A24" s="12" t="s">
        <v>91</v>
      </c>
      <c r="B24" s="35" t="n">
        <f aca="false">B9*(1-B10)</f>
        <v>0.06</v>
      </c>
    </row>
    <row r="25" customFormat="false" ht="15" hidden="false" customHeight="false" outlineLevel="0" collapsed="false">
      <c r="A25" s="12" t="s">
        <v>92</v>
      </c>
      <c r="B25" s="35" t="n">
        <f aca="false">B12+B13*(B14-B12)</f>
        <v>0.116</v>
      </c>
    </row>
    <row r="26" customFormat="false" ht="15" hidden="false" customHeight="false" outlineLevel="0" collapsed="false">
      <c r="A26" s="12" t="s">
        <v>93</v>
      </c>
      <c r="B26" s="35" t="n">
        <f aca="false">IFERROR(B16/B17+B18,"")</f>
        <v>0.1</v>
      </c>
    </row>
    <row r="27" customFormat="false" ht="15" hidden="false" customHeight="false" outlineLevel="0" collapsed="false">
      <c r="A27" s="12" t="s">
        <v>94</v>
      </c>
      <c r="B27" s="36" t="n">
        <f aca="false">B22*IF(B20=1,B25,B26)+B23*B24</f>
        <v>0.0936</v>
      </c>
    </row>
    <row r="29" customFormat="false" ht="15" hidden="false" customHeight="true" outlineLevel="0" collapsed="false">
      <c r="A29" s="37" t="s">
        <v>95</v>
      </c>
      <c r="B29" s="37"/>
      <c r="C29" s="37"/>
    </row>
    <row r="31" customFormat="false" ht="27.75" hidden="false" customHeight="true" outlineLevel="0" collapsed="false">
      <c r="A31" s="7" t="s">
        <v>20</v>
      </c>
      <c r="B31" s="7"/>
      <c r="C31" s="7"/>
    </row>
  </sheetData>
  <sheetProtection sheet="true" password="9abc" formatColumns="false"/>
  <mergeCells count="12">
    <mergeCell ref="A1:C1"/>
    <mergeCell ref="A2:C2"/>
    <mergeCell ref="A3:C3"/>
    <mergeCell ref="A4:C4"/>
    <mergeCell ref="A5:C5"/>
    <mergeCell ref="A8:C8"/>
    <mergeCell ref="A11:C11"/>
    <mergeCell ref="A15:C15"/>
    <mergeCell ref="A19:C19"/>
    <mergeCell ref="A21:C21"/>
    <mergeCell ref="A29:C29"/>
    <mergeCell ref="A31:C31"/>
  </mergeCells>
  <dataValidations count="1">
    <dataValidation allowBlank="false" errorStyle="stop" operator="between" showDropDown="false" showErrorMessage="false" showInputMessage="false" sqref="B20" type="whole">
      <formula1>1</formula1>
      <formula2>2</formula2>
    </dataValidation>
  </dataValidations>
  <printOptions headings="false" gridLines="false" gridLinesSet="true" horizontalCentered="true" verticalCentered="false"/>
  <pageMargins left="0.75" right="0.75" top="1" bottom="1" header="0.511811023622047" footer="0.511811023622047"/>
  <pageSetup paperSize="9" scale="100" fitToWidth="1" fitToHeight="0" pageOrder="downThenOver" orientation="portrait"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F373"/>
  <sheetViews>
    <sheetView showFormulas="false" showGridLines="false" showRowColHeaders="true" showZeros="true" rightToLeft="true" tabSelected="false" showOutlineSymbols="true" defaultGridColor="true" view="normal" topLeftCell="A1" colorId="64" zoomScale="100" zoomScaleNormal="100" zoomScalePageLayoutView="100" workbookViewId="0">
      <pane xSplit="0" ySplit="11" topLeftCell="A1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10"/>
    <col collapsed="false" customWidth="true" hidden="false" outlineLevel="0" max="2" min="2" style="0" width="16"/>
    <col collapsed="false" customWidth="true" hidden="false" outlineLevel="0" max="6" min="3" style="0" width="18"/>
  </cols>
  <sheetData>
    <row r="1" customFormat="false" ht="33.75" hidden="false" customHeight="true" outlineLevel="0" collapsed="false">
      <c r="A1" s="1" t="s">
        <v>96</v>
      </c>
      <c r="B1" s="1"/>
      <c r="C1" s="1"/>
      <c r="D1" s="1"/>
      <c r="E1" s="1"/>
      <c r="F1" s="1"/>
    </row>
    <row r="2" customFormat="false" ht="15" hidden="false" customHeight="true" outlineLevel="0" collapsed="false">
      <c r="A2" s="2" t="s">
        <v>1</v>
      </c>
      <c r="B2" s="2"/>
      <c r="C2" s="2"/>
      <c r="D2" s="2"/>
      <c r="E2" s="2"/>
      <c r="F2" s="2"/>
    </row>
    <row r="3" customFormat="false" ht="15" hidden="false" customHeight="true" outlineLevel="0" collapsed="false">
      <c r="A3" s="8" t="s">
        <v>22</v>
      </c>
      <c r="B3" s="8"/>
      <c r="C3" s="8"/>
      <c r="D3" s="8"/>
      <c r="E3" s="8"/>
      <c r="F3" s="8"/>
    </row>
    <row r="4" customFormat="false" ht="15" hidden="false" customHeight="true" outlineLevel="0" collapsed="false">
      <c r="A4" s="10" t="s">
        <v>97</v>
      </c>
      <c r="B4" s="10"/>
      <c r="C4" s="18" t="n">
        <v>1000000</v>
      </c>
      <c r="D4" s="12" t="s">
        <v>98</v>
      </c>
      <c r="E4" s="38" t="n">
        <f aca="false">PMT(C5/C7,C6*C7,-C4)</f>
        <v>19566.1482187285</v>
      </c>
    </row>
    <row r="5" customFormat="false" ht="15" hidden="false" customHeight="true" outlineLevel="0" collapsed="false">
      <c r="A5" s="10" t="s">
        <v>99</v>
      </c>
      <c r="B5" s="10"/>
      <c r="C5" s="39" t="n">
        <v>0.065</v>
      </c>
      <c r="D5" s="12" t="s">
        <v>100</v>
      </c>
      <c r="E5" s="40" t="n">
        <f aca="false">C6*C7</f>
        <v>60</v>
      </c>
    </row>
    <row r="6" customFormat="false" ht="15" hidden="false" customHeight="true" outlineLevel="0" collapsed="false">
      <c r="A6" s="10" t="s">
        <v>101</v>
      </c>
      <c r="B6" s="10"/>
      <c r="C6" s="16" t="n">
        <v>5</v>
      </c>
      <c r="D6" s="12" t="s">
        <v>102</v>
      </c>
      <c r="E6" s="13" t="n">
        <f aca="false">E4*E5</f>
        <v>1173968.89312371</v>
      </c>
    </row>
    <row r="7" customFormat="false" ht="15" hidden="false" customHeight="true" outlineLevel="0" collapsed="false">
      <c r="A7" s="10" t="s">
        <v>103</v>
      </c>
      <c r="B7" s="10"/>
      <c r="C7" s="16" t="n">
        <v>12</v>
      </c>
      <c r="D7" s="12" t="s">
        <v>104</v>
      </c>
      <c r="E7" s="13" t="n">
        <f aca="false">E6-C4</f>
        <v>173968.893123713</v>
      </c>
    </row>
    <row r="8" customFormat="false" ht="15" hidden="false" customHeight="true" outlineLevel="0" collapsed="false">
      <c r="A8" s="10" t="s">
        <v>105</v>
      </c>
      <c r="B8" s="10"/>
      <c r="C8" s="41" t="n">
        <v>46053</v>
      </c>
    </row>
    <row r="9" customFormat="false" ht="15" hidden="false" customHeight="true" outlineLevel="0" collapsed="false">
      <c r="A9" s="37" t="s">
        <v>106</v>
      </c>
      <c r="B9" s="37"/>
      <c r="C9" s="37"/>
      <c r="D9" s="37"/>
      <c r="E9" s="37"/>
      <c r="F9" s="37"/>
    </row>
    <row r="11" customFormat="false" ht="30" hidden="false" customHeight="true" outlineLevel="0" collapsed="false">
      <c r="A11" s="21" t="s">
        <v>107</v>
      </c>
      <c r="B11" s="21" t="s">
        <v>108</v>
      </c>
      <c r="C11" s="21" t="s">
        <v>109</v>
      </c>
      <c r="D11" s="21" t="s">
        <v>110</v>
      </c>
      <c r="E11" s="21" t="s">
        <v>111</v>
      </c>
      <c r="F11" s="21" t="s">
        <v>112</v>
      </c>
    </row>
    <row r="12" customFormat="false" ht="15" hidden="false" customHeight="false" outlineLevel="0" collapsed="false">
      <c r="A12" s="22" t="n">
        <f aca="false">IF(1&lt;=$E$5,1,"")</f>
        <v>1</v>
      </c>
      <c r="B12" s="42" t="n">
        <f aca="false">IF(A12="","",IF($C$8="","",EDATE($C$8,(A12-1)*12/$C$7)))</f>
        <v>46053</v>
      </c>
      <c r="C12" s="43" t="n">
        <f aca="false">IF(A12="","",$E$4)</f>
        <v>19566.1482187285</v>
      </c>
      <c r="D12" s="43" t="n">
        <f aca="false">IF(A12="","",C12-E12)</f>
        <v>14149.4815520619</v>
      </c>
      <c r="E12" s="43" t="n">
        <f aca="false">IF(A12="","",$C$4*$C$5/$C$7)</f>
        <v>5416.66666666667</v>
      </c>
      <c r="F12" s="43" t="n">
        <f aca="false">IF(A12="","",MAX(0,$C$4-D12))</f>
        <v>985850.518447938</v>
      </c>
    </row>
    <row r="13" customFormat="false" ht="15" hidden="false" customHeight="false" outlineLevel="0" collapsed="false">
      <c r="A13" s="22" t="n">
        <f aca="false">IF(2&lt;=$E$5,2,"")</f>
        <v>2</v>
      </c>
      <c r="B13" s="42" t="n">
        <f aca="false">IF(A13="","",IF($C$8="","",EDATE($C$8,(A13-1)*12/$C$7)))</f>
        <v>46081</v>
      </c>
      <c r="C13" s="43" t="n">
        <f aca="false">IF(A13="","",$E$4)</f>
        <v>19566.1482187285</v>
      </c>
      <c r="D13" s="43" t="n">
        <f aca="false">IF(A13="","",C13-E13)</f>
        <v>14226.1245771356</v>
      </c>
      <c r="E13" s="43" t="n">
        <f aca="false">IF(A13="","",F12*$C$5/$C$7)</f>
        <v>5340.023641593</v>
      </c>
      <c r="F13" s="43" t="n">
        <f aca="false">IF(A13="","",MAX(0,F12-D13))</f>
        <v>971624.393870803</v>
      </c>
    </row>
    <row r="14" customFormat="false" ht="15" hidden="false" customHeight="false" outlineLevel="0" collapsed="false">
      <c r="A14" s="22" t="n">
        <f aca="false">IF(3&lt;=$E$5,3,"")</f>
        <v>3</v>
      </c>
      <c r="B14" s="42" t="n">
        <f aca="false">IF(A14="","",IF($C$8="","",EDATE($C$8,(A14-1)*12/$C$7)))</f>
        <v>46112</v>
      </c>
      <c r="C14" s="43" t="n">
        <f aca="false">IF(A14="","",$E$4)</f>
        <v>19566.1482187285</v>
      </c>
      <c r="D14" s="43" t="n">
        <f aca="false">IF(A14="","",C14-E14)</f>
        <v>14303.1827519284</v>
      </c>
      <c r="E14" s="43" t="n">
        <f aca="false">IF(A14="","",F13*$C$5/$C$7)</f>
        <v>5262.96546680018</v>
      </c>
      <c r="F14" s="43" t="n">
        <f aca="false">IF(A14="","",MAX(0,F13-D14))</f>
        <v>957321.211118874</v>
      </c>
    </row>
    <row r="15" customFormat="false" ht="15" hidden="false" customHeight="false" outlineLevel="0" collapsed="false">
      <c r="A15" s="22" t="n">
        <f aca="false">IF(4&lt;=$E$5,4,"")</f>
        <v>4</v>
      </c>
      <c r="B15" s="42" t="n">
        <f aca="false">IF(A15="","",IF($C$8="","",EDATE($C$8,(A15-1)*12/$C$7)))</f>
        <v>46142</v>
      </c>
      <c r="C15" s="43" t="n">
        <f aca="false">IF(A15="","",$E$4)</f>
        <v>19566.1482187285</v>
      </c>
      <c r="D15" s="43" t="n">
        <f aca="false">IF(A15="","",C15-E15)</f>
        <v>14380.658325168</v>
      </c>
      <c r="E15" s="43" t="n">
        <f aca="false">IF(A15="","",F14*$C$5/$C$7)</f>
        <v>5185.48989356057</v>
      </c>
      <c r="F15" s="43" t="n">
        <f aca="false">IF(A15="","",MAX(0,F14-D15))</f>
        <v>942940.552793706</v>
      </c>
    </row>
    <row r="16" customFormat="false" ht="15" hidden="false" customHeight="false" outlineLevel="0" collapsed="false">
      <c r="A16" s="22" t="n">
        <f aca="false">IF(5&lt;=$E$5,5,"")</f>
        <v>5</v>
      </c>
      <c r="B16" s="42" t="n">
        <f aca="false">IF(A16="","",IF($C$8="","",EDATE($C$8,(A16-1)*12/$C$7)))</f>
        <v>46173</v>
      </c>
      <c r="C16" s="43" t="n">
        <f aca="false">IF(A16="","",$E$4)</f>
        <v>19566.1482187285</v>
      </c>
      <c r="D16" s="43" t="n">
        <f aca="false">IF(A16="","",C16-E16)</f>
        <v>14458.5535577626</v>
      </c>
      <c r="E16" s="43" t="n">
        <f aca="false">IF(A16="","",F15*$C$5/$C$7)</f>
        <v>5107.59466096591</v>
      </c>
      <c r="F16" s="43" t="n">
        <f aca="false">IF(A16="","",MAX(0,F15-D16))</f>
        <v>928481.999235944</v>
      </c>
    </row>
    <row r="17" customFormat="false" ht="15" hidden="false" customHeight="false" outlineLevel="0" collapsed="false">
      <c r="A17" s="22" t="n">
        <f aca="false">IF(6&lt;=$E$5,6,"")</f>
        <v>6</v>
      </c>
      <c r="B17" s="42" t="n">
        <f aca="false">IF(A17="","",IF($C$8="","",EDATE($C$8,(A17-1)*12/$C$7)))</f>
        <v>46203</v>
      </c>
      <c r="C17" s="43" t="n">
        <f aca="false">IF(A17="","",$E$4)</f>
        <v>19566.1482187285</v>
      </c>
      <c r="D17" s="43" t="n">
        <f aca="false">IF(A17="","",C17-E17)</f>
        <v>14536.8707228672</v>
      </c>
      <c r="E17" s="43" t="n">
        <f aca="false">IF(A17="","",F16*$C$5/$C$7)</f>
        <v>5029.27749586136</v>
      </c>
      <c r="F17" s="43" t="n">
        <f aca="false">IF(A17="","",MAX(0,F16-D17))</f>
        <v>913945.128513077</v>
      </c>
    </row>
    <row r="18" customFormat="false" ht="15" hidden="false" customHeight="false" outlineLevel="0" collapsed="false">
      <c r="A18" s="22" t="n">
        <f aca="false">IF(7&lt;=$E$5,7,"")</f>
        <v>7</v>
      </c>
      <c r="B18" s="42" t="n">
        <f aca="false">IF(A18="","",IF($C$8="","",EDATE($C$8,(A18-1)*12/$C$7)))</f>
        <v>46234</v>
      </c>
      <c r="C18" s="43" t="n">
        <f aca="false">IF(A18="","",$E$4)</f>
        <v>19566.1482187285</v>
      </c>
      <c r="D18" s="43" t="n">
        <f aca="false">IF(A18="","",C18-E18)</f>
        <v>14615.6121059494</v>
      </c>
      <c r="E18" s="43" t="n">
        <f aca="false">IF(A18="","",F17*$C$5/$C$7)</f>
        <v>4950.53611277917</v>
      </c>
      <c r="F18" s="43" t="n">
        <f aca="false">IF(A18="","",MAX(0,F17-D18))</f>
        <v>899329.516407127</v>
      </c>
    </row>
    <row r="19" customFormat="false" ht="15" hidden="false" customHeight="false" outlineLevel="0" collapsed="false">
      <c r="A19" s="22" t="n">
        <f aca="false">IF(8&lt;=$E$5,8,"")</f>
        <v>8</v>
      </c>
      <c r="B19" s="42" t="n">
        <f aca="false">IF(A19="","",IF($C$8="","",EDATE($C$8,(A19-1)*12/$C$7)))</f>
        <v>46265</v>
      </c>
      <c r="C19" s="43" t="n">
        <f aca="false">IF(A19="","",$E$4)</f>
        <v>19566.1482187285</v>
      </c>
      <c r="D19" s="43" t="n">
        <f aca="false">IF(A19="","",C19-E19)</f>
        <v>14694.7800048566</v>
      </c>
      <c r="E19" s="43" t="n">
        <f aca="false">IF(A19="","",F18*$C$5/$C$7)</f>
        <v>4871.36821387194</v>
      </c>
      <c r="F19" s="43" t="n">
        <f aca="false">IF(A19="","",MAX(0,F18-D19))</f>
        <v>884634.73640227</v>
      </c>
    </row>
    <row r="20" customFormat="false" ht="15" hidden="false" customHeight="false" outlineLevel="0" collapsed="false">
      <c r="A20" s="22" t="n">
        <f aca="false">IF(9&lt;=$E$5,9,"")</f>
        <v>9</v>
      </c>
      <c r="B20" s="42" t="n">
        <f aca="false">IF(A20="","",IF($C$8="","",EDATE($C$8,(A20-1)*12/$C$7)))</f>
        <v>46295</v>
      </c>
      <c r="C20" s="43" t="n">
        <f aca="false">IF(A20="","",$E$4)</f>
        <v>19566.1482187285</v>
      </c>
      <c r="D20" s="43" t="n">
        <f aca="false">IF(A20="","",C20-E20)</f>
        <v>14774.3767298829</v>
      </c>
      <c r="E20" s="43" t="n">
        <f aca="false">IF(A20="","",F19*$C$5/$C$7)</f>
        <v>4791.77148884563</v>
      </c>
      <c r="F20" s="43" t="n">
        <f aca="false">IF(A20="","",MAX(0,F19-D20))</f>
        <v>869860.359672388</v>
      </c>
    </row>
    <row r="21" customFormat="false" ht="15" hidden="false" customHeight="false" outlineLevel="0" collapsed="false">
      <c r="A21" s="22" t="n">
        <f aca="false">IF(10&lt;=$E$5,10,"")</f>
        <v>10</v>
      </c>
      <c r="B21" s="42" t="n">
        <f aca="false">IF(A21="","",IF($C$8="","",EDATE($C$8,(A21-1)*12/$C$7)))</f>
        <v>46326</v>
      </c>
      <c r="C21" s="43" t="n">
        <f aca="false">IF(A21="","",$E$4)</f>
        <v>19566.1482187285</v>
      </c>
      <c r="D21" s="43" t="n">
        <f aca="false">IF(A21="","",C21-E21)</f>
        <v>14854.4046038364</v>
      </c>
      <c r="E21" s="43" t="n">
        <f aca="false">IF(A21="","",F20*$C$5/$C$7)</f>
        <v>4711.7436148921</v>
      </c>
      <c r="F21" s="43" t="n">
        <f aca="false">IF(A21="","",MAX(0,F20-D21))</f>
        <v>855005.955068551</v>
      </c>
    </row>
    <row r="22" customFormat="false" ht="15" hidden="false" customHeight="false" outlineLevel="0" collapsed="false">
      <c r="A22" s="22" t="n">
        <f aca="false">IF(11&lt;=$E$5,11,"")</f>
        <v>11</v>
      </c>
      <c r="B22" s="42" t="n">
        <f aca="false">IF(A22="","",IF($C$8="","",EDATE($C$8,(A22-1)*12/$C$7)))</f>
        <v>46356</v>
      </c>
      <c r="C22" s="43" t="n">
        <f aca="false">IF(A22="","",$E$4)</f>
        <v>19566.1482187285</v>
      </c>
      <c r="D22" s="43" t="n">
        <f aca="false">IF(A22="","",C22-E22)</f>
        <v>14934.8659621072</v>
      </c>
      <c r="E22" s="43" t="n">
        <f aca="false">IF(A22="","",F21*$C$5/$C$7)</f>
        <v>4631.28225662132</v>
      </c>
      <c r="F22" s="43" t="n">
        <f aca="false">IF(A22="","",MAX(0,F21-D22))</f>
        <v>840071.089106444</v>
      </c>
    </row>
    <row r="23" customFormat="false" ht="15" hidden="false" customHeight="false" outlineLevel="0" collapsed="false">
      <c r="A23" s="22" t="n">
        <f aca="false">IF(12&lt;=$E$5,12,"")</f>
        <v>12</v>
      </c>
      <c r="B23" s="42" t="n">
        <f aca="false">IF(A23="","",IF($C$8="","",EDATE($C$8,(A23-1)*12/$C$7)))</f>
        <v>46387</v>
      </c>
      <c r="C23" s="43" t="n">
        <f aca="false">IF(A23="","",$E$4)</f>
        <v>19566.1482187285</v>
      </c>
      <c r="D23" s="43" t="n">
        <f aca="false">IF(A23="","",C23-E23)</f>
        <v>15015.7631527353</v>
      </c>
      <c r="E23" s="43" t="n">
        <f aca="false">IF(A23="","",F22*$C$5/$C$7)</f>
        <v>4550.38506599324</v>
      </c>
      <c r="F23" s="43" t="n">
        <f aca="false">IF(A23="","",MAX(0,F22-D23))</f>
        <v>825055.325953709</v>
      </c>
    </row>
    <row r="24" customFormat="false" ht="15" hidden="false" customHeight="false" outlineLevel="0" collapsed="false">
      <c r="A24" s="22" t="n">
        <f aca="false">IF(13&lt;=$E$5,13,"")</f>
        <v>13</v>
      </c>
      <c r="B24" s="42" t="n">
        <f aca="false">IF(A24="","",IF($C$8="","",EDATE($C$8,(A24-1)*12/$C$7)))</f>
        <v>46418</v>
      </c>
      <c r="C24" s="43" t="n">
        <f aca="false">IF(A24="","",$E$4)</f>
        <v>19566.1482187285</v>
      </c>
      <c r="D24" s="43" t="n">
        <f aca="false">IF(A24="","",C24-E24)</f>
        <v>15097.0985364793</v>
      </c>
      <c r="E24" s="43" t="n">
        <f aca="false">IF(A24="","",F23*$C$5/$C$7)</f>
        <v>4469.04968224925</v>
      </c>
      <c r="F24" s="43" t="n">
        <f aca="false">IF(A24="","",MAX(0,F23-D24))</f>
        <v>809958.227417229</v>
      </c>
    </row>
    <row r="25" customFormat="false" ht="15" hidden="false" customHeight="false" outlineLevel="0" collapsed="false">
      <c r="A25" s="22" t="n">
        <f aca="false">IF(14&lt;=$E$5,14,"")</f>
        <v>14</v>
      </c>
      <c r="B25" s="42" t="n">
        <f aca="false">IF(A25="","",IF($C$8="","",EDATE($C$8,(A25-1)*12/$C$7)))</f>
        <v>46446</v>
      </c>
      <c r="C25" s="43" t="n">
        <f aca="false">IF(A25="","",$E$4)</f>
        <v>19566.1482187285</v>
      </c>
      <c r="D25" s="43" t="n">
        <f aca="false">IF(A25="","",C25-E25)</f>
        <v>15178.8744868852</v>
      </c>
      <c r="E25" s="43" t="n">
        <f aca="false">IF(A25="","",F24*$C$5/$C$7)</f>
        <v>4387.27373184333</v>
      </c>
      <c r="F25" s="43" t="n">
        <f aca="false">IF(A25="","",MAX(0,F24-D25))</f>
        <v>794779.352930344</v>
      </c>
    </row>
    <row r="26" customFormat="false" ht="15" hidden="false" customHeight="false" outlineLevel="0" collapsed="false">
      <c r="A26" s="22" t="n">
        <f aca="false">IF(15&lt;=$E$5,15,"")</f>
        <v>15</v>
      </c>
      <c r="B26" s="42" t="n">
        <f aca="false">IF(A26="","",IF($C$8="","",EDATE($C$8,(A26-1)*12/$C$7)))</f>
        <v>46477</v>
      </c>
      <c r="C26" s="43" t="n">
        <f aca="false">IF(A26="","",$E$4)</f>
        <v>19566.1482187285</v>
      </c>
      <c r="D26" s="43" t="n">
        <f aca="false">IF(A26="","",C26-E26)</f>
        <v>15261.0933903559</v>
      </c>
      <c r="E26" s="43" t="n">
        <f aca="false">IF(A26="","",F25*$C$5/$C$7)</f>
        <v>4305.0548283727</v>
      </c>
      <c r="F26" s="43" t="n">
        <f aca="false">IF(A26="","",MAX(0,F25-D26))</f>
        <v>779518.259539988</v>
      </c>
    </row>
    <row r="27" customFormat="false" ht="15" hidden="false" customHeight="false" outlineLevel="0" collapsed="false">
      <c r="A27" s="22" t="n">
        <f aca="false">IF(16&lt;=$E$5,16,"")</f>
        <v>16</v>
      </c>
      <c r="B27" s="42" t="n">
        <f aca="false">IF(A27="","",IF($C$8="","",EDATE($C$8,(A27-1)*12/$C$7)))</f>
        <v>46507</v>
      </c>
      <c r="C27" s="43" t="n">
        <f aca="false">IF(A27="","",$E$4)</f>
        <v>19566.1482187285</v>
      </c>
      <c r="D27" s="43" t="n">
        <f aca="false">IF(A27="","",C27-E27)</f>
        <v>15343.7576462203</v>
      </c>
      <c r="E27" s="43" t="n">
        <f aca="false">IF(A27="","",F26*$C$5/$C$7)</f>
        <v>4222.39057250827</v>
      </c>
      <c r="F27" s="43" t="n">
        <f aca="false">IF(A27="","",MAX(0,F26-D27))</f>
        <v>764174.501893768</v>
      </c>
    </row>
    <row r="28" customFormat="false" ht="15" hidden="false" customHeight="false" outlineLevel="0" collapsed="false">
      <c r="A28" s="22" t="n">
        <f aca="false">IF(17&lt;=$E$5,17,"")</f>
        <v>17</v>
      </c>
      <c r="B28" s="42" t="n">
        <f aca="false">IF(A28="","",IF($C$8="","",EDATE($C$8,(A28-1)*12/$C$7)))</f>
        <v>46538</v>
      </c>
      <c r="C28" s="43" t="n">
        <f aca="false">IF(A28="","",$E$4)</f>
        <v>19566.1482187285</v>
      </c>
      <c r="D28" s="43" t="n">
        <f aca="false">IF(A28="","",C28-E28)</f>
        <v>15426.869666804</v>
      </c>
      <c r="E28" s="43" t="n">
        <f aca="false">IF(A28="","",F27*$C$5/$C$7)</f>
        <v>4139.27855192458</v>
      </c>
      <c r="F28" s="43" t="n">
        <f aca="false">IF(A28="","",MAX(0,F27-D28))</f>
        <v>748747.632226964</v>
      </c>
    </row>
    <row r="29" customFormat="false" ht="15" hidden="false" customHeight="false" outlineLevel="0" collapsed="false">
      <c r="A29" s="22" t="n">
        <f aca="false">IF(18&lt;=$E$5,18,"")</f>
        <v>18</v>
      </c>
      <c r="B29" s="42" t="n">
        <f aca="false">IF(A29="","",IF($C$8="","",EDATE($C$8,(A29-1)*12/$C$7)))</f>
        <v>46568</v>
      </c>
      <c r="C29" s="43" t="n">
        <f aca="false">IF(A29="","",$E$4)</f>
        <v>19566.1482187285</v>
      </c>
      <c r="D29" s="43" t="n">
        <f aca="false">IF(A29="","",C29-E29)</f>
        <v>15510.4318774992</v>
      </c>
      <c r="E29" s="43" t="n">
        <f aca="false">IF(A29="","",F28*$C$5/$C$7)</f>
        <v>4055.71634122939</v>
      </c>
      <c r="F29" s="43" t="n">
        <f aca="false">IF(A29="","",MAX(0,F28-D29))</f>
        <v>733237.200349465</v>
      </c>
    </row>
    <row r="30" customFormat="false" ht="15" hidden="false" customHeight="false" outlineLevel="0" collapsed="false">
      <c r="A30" s="22" t="n">
        <f aca="false">IF(19&lt;=$E$5,19,"")</f>
        <v>19</v>
      </c>
      <c r="B30" s="42" t="n">
        <f aca="false">IF(A30="","",IF($C$8="","",EDATE($C$8,(A30-1)*12/$C$7)))</f>
        <v>46599</v>
      </c>
      <c r="C30" s="43" t="n">
        <f aca="false">IF(A30="","",$E$4)</f>
        <v>19566.1482187285</v>
      </c>
      <c r="D30" s="43" t="n">
        <f aca="false">IF(A30="","",C30-E30)</f>
        <v>15594.4467168356</v>
      </c>
      <c r="E30" s="43" t="n">
        <f aca="false">IF(A30="","",F29*$C$5/$C$7)</f>
        <v>3971.70150189293</v>
      </c>
      <c r="F30" s="43" t="n">
        <f aca="false">IF(A30="","",MAX(0,F29-D30))</f>
        <v>717642.753632629</v>
      </c>
    </row>
    <row r="31" customFormat="false" ht="15" hidden="false" customHeight="false" outlineLevel="0" collapsed="false">
      <c r="A31" s="22" t="n">
        <f aca="false">IF(20&lt;=$E$5,20,"")</f>
        <v>20</v>
      </c>
      <c r="B31" s="42" t="n">
        <f aca="false">IF(A31="","",IF($C$8="","",EDATE($C$8,(A31-1)*12/$C$7)))</f>
        <v>46630</v>
      </c>
      <c r="C31" s="43" t="n">
        <f aca="false">IF(A31="","",$E$4)</f>
        <v>19566.1482187285</v>
      </c>
      <c r="D31" s="43" t="n">
        <f aca="false">IF(A31="","",C31-E31)</f>
        <v>15678.9166365518</v>
      </c>
      <c r="E31" s="43" t="n">
        <f aca="false">IF(A31="","",F30*$C$5/$C$7)</f>
        <v>3887.23158217674</v>
      </c>
      <c r="F31" s="43" t="n">
        <f aca="false">IF(A31="","",MAX(0,F30-D31))</f>
        <v>701963.836996077</v>
      </c>
    </row>
    <row r="32" customFormat="false" ht="15" hidden="false" customHeight="false" outlineLevel="0" collapsed="false">
      <c r="A32" s="22" t="n">
        <f aca="false">IF(21&lt;=$E$5,21,"")</f>
        <v>21</v>
      </c>
      <c r="B32" s="42" t="n">
        <f aca="false">IF(A32="","",IF($C$8="","",EDATE($C$8,(A32-1)*12/$C$7)))</f>
        <v>46660</v>
      </c>
      <c r="C32" s="43" t="n">
        <f aca="false">IF(A32="","",$E$4)</f>
        <v>19566.1482187285</v>
      </c>
      <c r="D32" s="43" t="n">
        <f aca="false">IF(A32="","",C32-E32)</f>
        <v>15763.8441016665</v>
      </c>
      <c r="E32" s="43" t="n">
        <f aca="false">IF(A32="","",F31*$C$5/$C$7)</f>
        <v>3802.30411706209</v>
      </c>
      <c r="F32" s="43" t="n">
        <f aca="false">IF(A32="","",MAX(0,F31-D32))</f>
        <v>686199.992894411</v>
      </c>
    </row>
    <row r="33" customFormat="false" ht="15" hidden="false" customHeight="false" outlineLevel="0" collapsed="false">
      <c r="A33" s="22" t="n">
        <f aca="false">IF(22&lt;=$E$5,22,"")</f>
        <v>22</v>
      </c>
      <c r="B33" s="42" t="n">
        <f aca="false">IF(A33="","",IF($C$8="","",EDATE($C$8,(A33-1)*12/$C$7)))</f>
        <v>46691</v>
      </c>
      <c r="C33" s="43" t="n">
        <f aca="false">IF(A33="","",$E$4)</f>
        <v>19566.1482187285</v>
      </c>
      <c r="D33" s="43" t="n">
        <f aca="false">IF(A33="","",C33-E33)</f>
        <v>15849.2315905505</v>
      </c>
      <c r="E33" s="43" t="n">
        <f aca="false">IF(A33="","",F32*$C$5/$C$7)</f>
        <v>3716.91662817806</v>
      </c>
      <c r="F33" s="43" t="n">
        <f aca="false">IF(A33="","",MAX(0,F32-D33))</f>
        <v>670350.76130386</v>
      </c>
    </row>
    <row r="34" customFormat="false" ht="15" hidden="false" customHeight="false" outlineLevel="0" collapsed="false">
      <c r="A34" s="22" t="n">
        <f aca="false">IF(23&lt;=$E$5,23,"")</f>
        <v>23</v>
      </c>
      <c r="B34" s="42" t="n">
        <f aca="false">IF(A34="","",IF($C$8="","",EDATE($C$8,(A34-1)*12/$C$7)))</f>
        <v>46721</v>
      </c>
      <c r="C34" s="43" t="n">
        <f aca="false">IF(A34="","",$E$4)</f>
        <v>19566.1482187285</v>
      </c>
      <c r="D34" s="43" t="n">
        <f aca="false">IF(A34="","",C34-E34)</f>
        <v>15935.0815949993</v>
      </c>
      <c r="E34" s="43" t="n">
        <f aca="false">IF(A34="","",F33*$C$5/$C$7)</f>
        <v>3631.06662372924</v>
      </c>
      <c r="F34" s="43" t="n">
        <f aca="false">IF(A34="","",MAX(0,F33-D34))</f>
        <v>654415.679708861</v>
      </c>
    </row>
    <row r="35" customFormat="false" ht="15" hidden="false" customHeight="false" outlineLevel="0" collapsed="false">
      <c r="A35" s="22" t="n">
        <f aca="false">IF(24&lt;=$E$5,24,"")</f>
        <v>24</v>
      </c>
      <c r="B35" s="42" t="n">
        <f aca="false">IF(A35="","",IF($C$8="","",EDATE($C$8,(A35-1)*12/$C$7)))</f>
        <v>46752</v>
      </c>
      <c r="C35" s="43" t="n">
        <f aca="false">IF(A35="","",$E$4)</f>
        <v>19566.1482187285</v>
      </c>
      <c r="D35" s="43" t="n">
        <f aca="false">IF(A35="","",C35-E35)</f>
        <v>16021.3966203056</v>
      </c>
      <c r="E35" s="43" t="n">
        <f aca="false">IF(A35="","",F34*$C$5/$C$7)</f>
        <v>3544.751598423</v>
      </c>
      <c r="F35" s="43" t="n">
        <f aca="false">IF(A35="","",MAX(0,F34-D35))</f>
        <v>638394.283088555</v>
      </c>
    </row>
    <row r="36" customFormat="false" ht="15" hidden="false" customHeight="false" outlineLevel="0" collapsed="false">
      <c r="A36" s="22" t="n">
        <f aca="false">IF(25&lt;=$E$5,25,"")</f>
        <v>25</v>
      </c>
      <c r="B36" s="42" t="n">
        <f aca="false">IF(A36="","",IF($C$8="","",EDATE($C$8,(A36-1)*12/$C$7)))</f>
        <v>46783</v>
      </c>
      <c r="C36" s="43" t="n">
        <f aca="false">IF(A36="","",$E$4)</f>
        <v>19566.1482187285</v>
      </c>
      <c r="D36" s="43" t="n">
        <f aca="false">IF(A36="","",C36-E36)</f>
        <v>16108.1791853322</v>
      </c>
      <c r="E36" s="43" t="n">
        <f aca="false">IF(A36="","",F35*$C$5/$C$7)</f>
        <v>3457.96903339634</v>
      </c>
      <c r="F36" s="43" t="n">
        <f aca="false">IF(A36="","",MAX(0,F35-D36))</f>
        <v>622286.103903223</v>
      </c>
    </row>
    <row r="37" customFormat="false" ht="15" hidden="false" customHeight="false" outlineLevel="0" collapsed="false">
      <c r="A37" s="22" t="n">
        <f aca="false">IF(26&lt;=$E$5,26,"")</f>
        <v>26</v>
      </c>
      <c r="B37" s="42" t="n">
        <f aca="false">IF(A37="","",IF($C$8="","",EDATE($C$8,(A37-1)*12/$C$7)))</f>
        <v>46812</v>
      </c>
      <c r="C37" s="43" t="n">
        <f aca="false">IF(A37="","",$E$4)</f>
        <v>19566.1482187285</v>
      </c>
      <c r="D37" s="43" t="n">
        <f aca="false">IF(A37="","",C37-E37)</f>
        <v>16195.4318225861</v>
      </c>
      <c r="E37" s="43" t="n">
        <f aca="false">IF(A37="","",F36*$C$5/$C$7)</f>
        <v>3370.71639614246</v>
      </c>
      <c r="F37" s="43" t="n">
        <f aca="false">IF(A37="","",MAX(0,F36-D37))</f>
        <v>606090.672080637</v>
      </c>
    </row>
    <row r="38" customFormat="false" ht="15" hidden="false" customHeight="false" outlineLevel="0" collapsed="false">
      <c r="A38" s="22" t="n">
        <f aca="false">IF(27&lt;=$E$5,27,"")</f>
        <v>27</v>
      </c>
      <c r="B38" s="42" t="n">
        <f aca="false">IF(A38="","",IF($C$8="","",EDATE($C$8,(A38-1)*12/$C$7)))</f>
        <v>46843</v>
      </c>
      <c r="C38" s="43" t="n">
        <f aca="false">IF(A38="","",$E$4)</f>
        <v>19566.1482187285</v>
      </c>
      <c r="D38" s="43" t="n">
        <f aca="false">IF(A38="","",C38-E38)</f>
        <v>16283.1570782918</v>
      </c>
      <c r="E38" s="43" t="n">
        <f aca="false">IF(A38="","",F37*$C$5/$C$7)</f>
        <v>3282.99114043678</v>
      </c>
      <c r="F38" s="43" t="n">
        <f aca="false">IF(A38="","",MAX(0,F37-D38))</f>
        <v>589807.515002345</v>
      </c>
    </row>
    <row r="39" customFormat="false" ht="15" hidden="false" customHeight="false" outlineLevel="0" collapsed="false">
      <c r="A39" s="22" t="n">
        <f aca="false">IF(28&lt;=$E$5,28,"")</f>
        <v>28</v>
      </c>
      <c r="B39" s="42" t="n">
        <f aca="false">IF(A39="","",IF($C$8="","",EDATE($C$8,(A39-1)*12/$C$7)))</f>
        <v>46873</v>
      </c>
      <c r="C39" s="43" t="n">
        <f aca="false">IF(A39="","",$E$4)</f>
        <v>19566.1482187285</v>
      </c>
      <c r="D39" s="43" t="n">
        <f aca="false">IF(A39="","",C39-E39)</f>
        <v>16371.3575124658</v>
      </c>
      <c r="E39" s="43" t="n">
        <f aca="false">IF(A39="","",F38*$C$5/$C$7)</f>
        <v>3194.7907062627</v>
      </c>
      <c r="F39" s="43" t="n">
        <f aca="false">IF(A39="","",MAX(0,F38-D39))</f>
        <v>573436.157489879</v>
      </c>
    </row>
    <row r="40" customFormat="false" ht="15" hidden="false" customHeight="false" outlineLevel="0" collapsed="false">
      <c r="A40" s="22" t="n">
        <f aca="false">IF(29&lt;=$E$5,29,"")</f>
        <v>29</v>
      </c>
      <c r="B40" s="42" t="n">
        <f aca="false">IF(A40="","",IF($C$8="","",EDATE($C$8,(A40-1)*12/$C$7)))</f>
        <v>46904</v>
      </c>
      <c r="C40" s="43" t="n">
        <f aca="false">IF(A40="","",$E$4)</f>
        <v>19566.1482187285</v>
      </c>
      <c r="D40" s="43" t="n">
        <f aca="false">IF(A40="","",C40-E40)</f>
        <v>16460.0356989917</v>
      </c>
      <c r="E40" s="43" t="n">
        <f aca="false">IF(A40="","",F39*$C$5/$C$7)</f>
        <v>3106.11251973685</v>
      </c>
      <c r="F40" s="43" t="n">
        <f aca="false">IF(A40="","",MAX(0,F39-D40))</f>
        <v>556976.121790888</v>
      </c>
    </row>
    <row r="41" customFormat="false" ht="15" hidden="false" customHeight="false" outlineLevel="0" collapsed="false">
      <c r="A41" s="22" t="n">
        <f aca="false">IF(30&lt;=$E$5,30,"")</f>
        <v>30</v>
      </c>
      <c r="B41" s="42" t="n">
        <f aca="false">IF(A41="","",IF($C$8="","",EDATE($C$8,(A41-1)*12/$C$7)))</f>
        <v>46934</v>
      </c>
      <c r="C41" s="43" t="n">
        <f aca="false">IF(A41="","",$E$4)</f>
        <v>19566.1482187285</v>
      </c>
      <c r="D41" s="43" t="n">
        <f aca="false">IF(A41="","",C41-E41)</f>
        <v>16549.1942256946</v>
      </c>
      <c r="E41" s="43" t="n">
        <f aca="false">IF(A41="","",F40*$C$5/$C$7)</f>
        <v>3016.95399303397</v>
      </c>
      <c r="F41" s="43" t="n">
        <f aca="false">IF(A41="","",MAX(0,F40-D41))</f>
        <v>540426.927565193</v>
      </c>
    </row>
    <row r="42" customFormat="false" ht="15" hidden="false" customHeight="false" outlineLevel="0" collapsed="false">
      <c r="A42" s="22" t="n">
        <f aca="false">IF(31&lt;=$E$5,31,"")</f>
        <v>31</v>
      </c>
      <c r="B42" s="42" t="n">
        <f aca="false">IF(A42="","",IF($C$8="","",EDATE($C$8,(A42-1)*12/$C$7)))</f>
        <v>46965</v>
      </c>
      <c r="C42" s="43" t="n">
        <f aca="false">IF(A42="","",$E$4)</f>
        <v>19566.1482187285</v>
      </c>
      <c r="D42" s="43" t="n">
        <f aca="false">IF(A42="","",C42-E42)</f>
        <v>16638.8356944171</v>
      </c>
      <c r="E42" s="43" t="n">
        <f aca="false">IF(A42="","",F41*$C$5/$C$7)</f>
        <v>2927.31252431146</v>
      </c>
      <c r="F42" s="43" t="n">
        <f aca="false">IF(A42="","",MAX(0,F41-D42))</f>
        <v>523788.091870776</v>
      </c>
    </row>
    <row r="43" customFormat="false" ht="15" hidden="false" customHeight="false" outlineLevel="0" collapsed="false">
      <c r="A43" s="22" t="n">
        <f aca="false">IF(32&lt;=$E$5,32,"")</f>
        <v>32</v>
      </c>
      <c r="B43" s="42" t="n">
        <f aca="false">IF(A43="","",IF($C$8="","",EDATE($C$8,(A43-1)*12/$C$7)))</f>
        <v>46996</v>
      </c>
      <c r="C43" s="43" t="n">
        <f aca="false">IF(A43="","",$E$4)</f>
        <v>19566.1482187285</v>
      </c>
      <c r="D43" s="43" t="n">
        <f aca="false">IF(A43="","",C43-E43)</f>
        <v>16728.9627210952</v>
      </c>
      <c r="E43" s="43" t="n">
        <f aca="false">IF(A43="","",F42*$C$5/$C$7)</f>
        <v>2837.18549763337</v>
      </c>
      <c r="F43" s="43" t="n">
        <f aca="false">IF(A43="","",MAX(0,F42-D43))</f>
        <v>507059.129149681</v>
      </c>
    </row>
    <row r="44" customFormat="false" ht="15" hidden="false" customHeight="false" outlineLevel="0" collapsed="false">
      <c r="A44" s="22" t="n">
        <f aca="false">IF(33&lt;=$E$5,33,"")</f>
        <v>33</v>
      </c>
      <c r="B44" s="42" t="n">
        <f aca="false">IF(A44="","",IF($C$8="","",EDATE($C$8,(A44-1)*12/$C$7)))</f>
        <v>47026</v>
      </c>
      <c r="C44" s="43" t="n">
        <f aca="false">IF(A44="","",$E$4)</f>
        <v>19566.1482187285</v>
      </c>
      <c r="D44" s="43" t="n">
        <f aca="false">IF(A44="","",C44-E44)</f>
        <v>16819.5779358344</v>
      </c>
      <c r="E44" s="43" t="n">
        <f aca="false">IF(A44="","",F43*$C$5/$C$7)</f>
        <v>2746.57028289411</v>
      </c>
      <c r="F44" s="43" t="n">
        <f aca="false">IF(A44="","",MAX(0,F43-D44))</f>
        <v>490239.551213846</v>
      </c>
    </row>
    <row r="45" customFormat="false" ht="15" hidden="false" customHeight="false" outlineLevel="0" collapsed="false">
      <c r="A45" s="22" t="n">
        <f aca="false">IF(34&lt;=$E$5,34,"")</f>
        <v>34</v>
      </c>
      <c r="B45" s="42" t="n">
        <f aca="false">IF(A45="","",IF($C$8="","",EDATE($C$8,(A45-1)*12/$C$7)))</f>
        <v>47057</v>
      </c>
      <c r="C45" s="43" t="n">
        <f aca="false">IF(A45="","",$E$4)</f>
        <v>19566.1482187285</v>
      </c>
      <c r="D45" s="43" t="n">
        <f aca="false">IF(A45="","",C45-E45)</f>
        <v>16910.6839829869</v>
      </c>
      <c r="E45" s="43" t="n">
        <f aca="false">IF(A45="","",F44*$C$5/$C$7)</f>
        <v>2655.46423574167</v>
      </c>
      <c r="F45" s="43" t="n">
        <f aca="false">IF(A45="","",MAX(0,F44-D45))</f>
        <v>473328.86723086</v>
      </c>
    </row>
    <row r="46" customFormat="false" ht="15" hidden="false" customHeight="false" outlineLevel="0" collapsed="false">
      <c r="A46" s="22" t="n">
        <f aca="false">IF(35&lt;=$E$5,35,"")</f>
        <v>35</v>
      </c>
      <c r="B46" s="42" t="n">
        <f aca="false">IF(A46="","",IF($C$8="","",EDATE($C$8,(A46-1)*12/$C$7)))</f>
        <v>47087</v>
      </c>
      <c r="C46" s="43" t="n">
        <f aca="false">IF(A46="","",$E$4)</f>
        <v>19566.1482187285</v>
      </c>
      <c r="D46" s="43" t="n">
        <f aca="false">IF(A46="","",C46-E46)</f>
        <v>17002.2835212281</v>
      </c>
      <c r="E46" s="43" t="n">
        <f aca="false">IF(A46="","",F45*$C$5/$C$7)</f>
        <v>2563.86469750049</v>
      </c>
      <c r="F46" s="43" t="n">
        <f aca="false">IF(A46="","",MAX(0,F45-D46))</f>
        <v>456326.583709631</v>
      </c>
    </row>
    <row r="47" customFormat="false" ht="15" hidden="false" customHeight="false" outlineLevel="0" collapsed="false">
      <c r="A47" s="22" t="n">
        <f aca="false">IF(36&lt;=$E$5,36,"")</f>
        <v>36</v>
      </c>
      <c r="B47" s="42" t="n">
        <f aca="false">IF(A47="","",IF($C$8="","",EDATE($C$8,(A47-1)*12/$C$7)))</f>
        <v>47118</v>
      </c>
      <c r="C47" s="43" t="n">
        <f aca="false">IF(A47="","",$E$4)</f>
        <v>19566.1482187285</v>
      </c>
      <c r="D47" s="43" t="n">
        <f aca="false">IF(A47="","",C47-E47)</f>
        <v>17094.3792236347</v>
      </c>
      <c r="E47" s="43" t="n">
        <f aca="false">IF(A47="","",F46*$C$5/$C$7)</f>
        <v>2471.76899509384</v>
      </c>
      <c r="F47" s="43" t="n">
        <f aca="false">IF(A47="","",MAX(0,F46-D47))</f>
        <v>439232.204485997</v>
      </c>
    </row>
    <row r="48" customFormat="false" ht="15" hidden="false" customHeight="false" outlineLevel="0" collapsed="false">
      <c r="A48" s="22" t="n">
        <f aca="false">IF(37&lt;=$E$5,37,"")</f>
        <v>37</v>
      </c>
      <c r="B48" s="42" t="n">
        <f aca="false">IF(A48="","",IF($C$8="","",EDATE($C$8,(A48-1)*12/$C$7)))</f>
        <v>47149</v>
      </c>
      <c r="C48" s="43" t="n">
        <f aca="false">IF(A48="","",$E$4)</f>
        <v>19566.1482187285</v>
      </c>
      <c r="D48" s="43" t="n">
        <f aca="false">IF(A48="","",C48-E48)</f>
        <v>17186.9737777627</v>
      </c>
      <c r="E48" s="43" t="n">
        <f aca="false">IF(A48="","",F47*$C$5/$C$7)</f>
        <v>2379.17444096582</v>
      </c>
      <c r="F48" s="43" t="n">
        <f aca="false">IF(A48="","",MAX(0,F47-D48))</f>
        <v>422045.230708234</v>
      </c>
    </row>
    <row r="49" customFormat="false" ht="15" hidden="false" customHeight="false" outlineLevel="0" collapsed="false">
      <c r="A49" s="22" t="n">
        <f aca="false">IF(38&lt;=$E$5,38,"")</f>
        <v>38</v>
      </c>
      <c r="B49" s="42" t="n">
        <f aca="false">IF(A49="","",IF($C$8="","",EDATE($C$8,(A49-1)*12/$C$7)))</f>
        <v>47177</v>
      </c>
      <c r="C49" s="43" t="n">
        <f aca="false">IF(A49="","",$E$4)</f>
        <v>19566.1482187285</v>
      </c>
      <c r="D49" s="43" t="n">
        <f aca="false">IF(A49="","",C49-E49)</f>
        <v>17280.0698857256</v>
      </c>
      <c r="E49" s="43" t="n">
        <f aca="false">IF(A49="","",F48*$C$5/$C$7)</f>
        <v>2286.07833300293</v>
      </c>
      <c r="F49" s="43" t="n">
        <f aca="false">IF(A49="","",MAX(0,F48-D49))</f>
        <v>404765.160822508</v>
      </c>
    </row>
    <row r="50" customFormat="false" ht="15" hidden="false" customHeight="false" outlineLevel="0" collapsed="false">
      <c r="A50" s="22" t="n">
        <f aca="false">IF(39&lt;=$E$5,39,"")</f>
        <v>39</v>
      </c>
      <c r="B50" s="42" t="n">
        <f aca="false">IF(A50="","",IF($C$8="","",EDATE($C$8,(A50-1)*12/$C$7)))</f>
        <v>47208</v>
      </c>
      <c r="C50" s="43" t="n">
        <f aca="false">IF(A50="","",$E$4)</f>
        <v>19566.1482187285</v>
      </c>
      <c r="D50" s="43" t="n">
        <f aca="false">IF(A50="","",C50-E50)</f>
        <v>17373.6702642733</v>
      </c>
      <c r="E50" s="43" t="n">
        <f aca="false">IF(A50="","",F49*$C$5/$C$7)</f>
        <v>2192.47795445525</v>
      </c>
      <c r="F50" s="43" t="n">
        <f aca="false">IF(A50="","",MAX(0,F49-D50))</f>
        <v>387391.490558235</v>
      </c>
    </row>
    <row r="51" customFormat="false" ht="15" hidden="false" customHeight="false" outlineLevel="0" collapsed="false">
      <c r="A51" s="22" t="n">
        <f aca="false">IF(40&lt;=$E$5,40,"")</f>
        <v>40</v>
      </c>
      <c r="B51" s="42" t="n">
        <f aca="false">IF(A51="","",IF($C$8="","",EDATE($C$8,(A51-1)*12/$C$7)))</f>
        <v>47238</v>
      </c>
      <c r="C51" s="43" t="n">
        <f aca="false">IF(A51="","",$E$4)</f>
        <v>19566.1482187285</v>
      </c>
      <c r="D51" s="43" t="n">
        <f aca="false">IF(A51="","",C51-E51)</f>
        <v>17467.7776448714</v>
      </c>
      <c r="E51" s="43" t="n">
        <f aca="false">IF(A51="","",F50*$C$5/$C$7)</f>
        <v>2098.37057385711</v>
      </c>
      <c r="F51" s="43" t="n">
        <f aca="false">IF(A51="","",MAX(0,F50-D51))</f>
        <v>369923.712913364</v>
      </c>
    </row>
    <row r="52" customFormat="false" ht="15" hidden="false" customHeight="false" outlineLevel="0" collapsed="false">
      <c r="A52" s="22" t="n">
        <f aca="false">IF(41&lt;=$E$5,41,"")</f>
        <v>41</v>
      </c>
      <c r="B52" s="42" t="n">
        <f aca="false">IF(A52="","",IF($C$8="","",EDATE($C$8,(A52-1)*12/$C$7)))</f>
        <v>47269</v>
      </c>
      <c r="C52" s="43" t="n">
        <f aca="false">IF(A52="","",$E$4)</f>
        <v>19566.1482187285</v>
      </c>
      <c r="D52" s="43" t="n">
        <f aca="false">IF(A52="","",C52-E52)</f>
        <v>17562.3947737812</v>
      </c>
      <c r="E52" s="43" t="n">
        <f aca="false">IF(A52="","",F51*$C$5/$C$7)</f>
        <v>2003.75344494739</v>
      </c>
      <c r="F52" s="43" t="n">
        <f aca="false">IF(A52="","",MAX(0,F51-D52))</f>
        <v>352361.318139582</v>
      </c>
    </row>
    <row r="53" customFormat="false" ht="15" hidden="false" customHeight="false" outlineLevel="0" collapsed="false">
      <c r="A53" s="22" t="n">
        <f aca="false">IF(42&lt;=$E$5,42,"")</f>
        <v>42</v>
      </c>
      <c r="B53" s="42" t="n">
        <f aca="false">IF(A53="","",IF($C$8="","",EDATE($C$8,(A53-1)*12/$C$7)))</f>
        <v>47299</v>
      </c>
      <c r="C53" s="43" t="n">
        <f aca="false">IF(A53="","",$E$4)</f>
        <v>19566.1482187285</v>
      </c>
      <c r="D53" s="43" t="n">
        <f aca="false">IF(A53="","",C53-E53)</f>
        <v>17657.5244121391</v>
      </c>
      <c r="E53" s="43" t="n">
        <f aca="false">IF(A53="","",F52*$C$5/$C$7)</f>
        <v>1908.62380658941</v>
      </c>
      <c r="F53" s="43" t="n">
        <f aca="false">IF(A53="","",MAX(0,F52-D53))</f>
        <v>334703.793727443</v>
      </c>
    </row>
    <row r="54" customFormat="false" ht="15" hidden="false" customHeight="false" outlineLevel="0" collapsed="false">
      <c r="A54" s="22" t="n">
        <f aca="false">IF(43&lt;=$E$5,43,"")</f>
        <v>43</v>
      </c>
      <c r="B54" s="42" t="n">
        <f aca="false">IF(A54="","",IF($C$8="","",EDATE($C$8,(A54-1)*12/$C$7)))</f>
        <v>47330</v>
      </c>
      <c r="C54" s="43" t="n">
        <f aca="false">IF(A54="","",$E$4)</f>
        <v>19566.1482187285</v>
      </c>
      <c r="D54" s="43" t="n">
        <f aca="false">IF(A54="","",C54-E54)</f>
        <v>17753.1693360382</v>
      </c>
      <c r="E54" s="43" t="n">
        <f aca="false">IF(A54="","",F53*$C$5/$C$7)</f>
        <v>1812.97888269032</v>
      </c>
      <c r="F54" s="43" t="n">
        <f aca="false">IF(A54="","",MAX(0,F53-D54))</f>
        <v>316950.624391405</v>
      </c>
    </row>
    <row r="55" customFormat="false" ht="15" hidden="false" customHeight="false" outlineLevel="0" collapsed="false">
      <c r="A55" s="22" t="n">
        <f aca="false">IF(44&lt;=$E$5,44,"")</f>
        <v>44</v>
      </c>
      <c r="B55" s="42" t="n">
        <f aca="false">IF(A55="","",IF($C$8="","",EDATE($C$8,(A55-1)*12/$C$7)))</f>
        <v>47361</v>
      </c>
      <c r="C55" s="43" t="n">
        <f aca="false">IF(A55="","",$E$4)</f>
        <v>19566.1482187285</v>
      </c>
      <c r="D55" s="43" t="n">
        <f aca="false">IF(A55="","",C55-E55)</f>
        <v>17849.3323366084</v>
      </c>
      <c r="E55" s="43" t="n">
        <f aca="false">IF(A55="","",F54*$C$5/$C$7)</f>
        <v>1716.81588212011</v>
      </c>
      <c r="F55" s="43" t="n">
        <f aca="false">IF(A55="","",MAX(0,F54-D55))</f>
        <v>299101.292054797</v>
      </c>
    </row>
    <row r="56" customFormat="false" ht="15" hidden="false" customHeight="false" outlineLevel="0" collapsed="false">
      <c r="A56" s="22" t="n">
        <f aca="false">IF(45&lt;=$E$5,45,"")</f>
        <v>45</v>
      </c>
      <c r="B56" s="42" t="n">
        <f aca="false">IF(A56="","",IF($C$8="","",EDATE($C$8,(A56-1)*12/$C$7)))</f>
        <v>47391</v>
      </c>
      <c r="C56" s="43" t="n">
        <f aca="false">IF(A56="","",$E$4)</f>
        <v>19566.1482187285</v>
      </c>
      <c r="D56" s="43" t="n">
        <f aca="false">IF(A56="","",C56-E56)</f>
        <v>17946.0162200984</v>
      </c>
      <c r="E56" s="43" t="n">
        <f aca="false">IF(A56="","",F55*$C$5/$C$7)</f>
        <v>1620.13199863015</v>
      </c>
      <c r="F56" s="43" t="n">
        <f aca="false">IF(A56="","",MAX(0,F55-D56))</f>
        <v>281155.275834698</v>
      </c>
    </row>
    <row r="57" customFormat="false" ht="15" hidden="false" customHeight="false" outlineLevel="0" collapsed="false">
      <c r="A57" s="22" t="n">
        <f aca="false">IF(46&lt;=$E$5,46,"")</f>
        <v>46</v>
      </c>
      <c r="B57" s="42" t="n">
        <f aca="false">IF(A57="","",IF($C$8="","",EDATE($C$8,(A57-1)*12/$C$7)))</f>
        <v>47422</v>
      </c>
      <c r="C57" s="43" t="n">
        <f aca="false">IF(A57="","",$E$4)</f>
        <v>19566.1482187285</v>
      </c>
      <c r="D57" s="43" t="n">
        <f aca="false">IF(A57="","",C57-E57)</f>
        <v>18043.2238079573</v>
      </c>
      <c r="E57" s="43" t="n">
        <f aca="false">IF(A57="","",F56*$C$5/$C$7)</f>
        <v>1522.92441077128</v>
      </c>
      <c r="F57" s="43" t="n">
        <f aca="false">IF(A57="","",MAX(0,F56-D57))</f>
        <v>263112.052026741</v>
      </c>
    </row>
    <row r="58" customFormat="false" ht="15" hidden="false" customHeight="false" outlineLevel="0" collapsed="false">
      <c r="A58" s="22" t="n">
        <f aca="false">IF(47&lt;=$E$5,47,"")</f>
        <v>47</v>
      </c>
      <c r="B58" s="42" t="n">
        <f aca="false">IF(A58="","",IF($C$8="","",EDATE($C$8,(A58-1)*12/$C$7)))</f>
        <v>47452</v>
      </c>
      <c r="C58" s="43" t="n">
        <f aca="false">IF(A58="","",$E$4)</f>
        <v>19566.1482187285</v>
      </c>
      <c r="D58" s="43" t="n">
        <f aca="false">IF(A58="","",C58-E58)</f>
        <v>18140.957936917</v>
      </c>
      <c r="E58" s="43" t="n">
        <f aca="false">IF(A58="","",F57*$C$5/$C$7)</f>
        <v>1425.19028181151</v>
      </c>
      <c r="F58" s="43" t="n">
        <f aca="false">IF(A58="","",MAX(0,F57-D58))</f>
        <v>244971.094089824</v>
      </c>
    </row>
    <row r="59" customFormat="false" ht="15" hidden="false" customHeight="false" outlineLevel="0" collapsed="false">
      <c r="A59" s="22" t="n">
        <f aca="false">IF(48&lt;=$E$5,48,"")</f>
        <v>48</v>
      </c>
      <c r="B59" s="42" t="n">
        <f aca="false">IF(A59="","",IF($C$8="","",EDATE($C$8,(A59-1)*12/$C$7)))</f>
        <v>47483</v>
      </c>
      <c r="C59" s="43" t="n">
        <f aca="false">IF(A59="","",$E$4)</f>
        <v>19566.1482187285</v>
      </c>
      <c r="D59" s="43" t="n">
        <f aca="false">IF(A59="","",C59-E59)</f>
        <v>18239.2214590753</v>
      </c>
      <c r="E59" s="43" t="n">
        <f aca="false">IF(A59="","",F58*$C$5/$C$7)</f>
        <v>1326.92675965321</v>
      </c>
      <c r="F59" s="43" t="n">
        <f aca="false">IF(A59="","",MAX(0,F58-D59))</f>
        <v>226731.872630749</v>
      </c>
    </row>
    <row r="60" customFormat="false" ht="15" hidden="false" customHeight="false" outlineLevel="0" collapsed="false">
      <c r="A60" s="22" t="n">
        <f aca="false">IF(49&lt;=$E$5,49,"")</f>
        <v>49</v>
      </c>
      <c r="B60" s="42" t="n">
        <f aca="false">IF(A60="","",IF($C$8="","",EDATE($C$8,(A60-1)*12/$C$7)))</f>
        <v>47514</v>
      </c>
      <c r="C60" s="43" t="n">
        <f aca="false">IF(A60="","",$E$4)</f>
        <v>19566.1482187285</v>
      </c>
      <c r="D60" s="43" t="n">
        <f aca="false">IF(A60="","",C60-E60)</f>
        <v>18338.0172419787</v>
      </c>
      <c r="E60" s="43" t="n">
        <f aca="false">IF(A60="","",F59*$C$5/$C$7)</f>
        <v>1228.13097674989</v>
      </c>
      <c r="F60" s="43" t="n">
        <f aca="false">IF(A60="","",MAX(0,F59-D60))</f>
        <v>208393.85538877</v>
      </c>
    </row>
    <row r="61" customFormat="false" ht="15" hidden="false" customHeight="false" outlineLevel="0" collapsed="false">
      <c r="A61" s="22" t="n">
        <f aca="false">IF(50&lt;=$E$5,50,"")</f>
        <v>50</v>
      </c>
      <c r="B61" s="42" t="n">
        <f aca="false">IF(A61="","",IF($C$8="","",EDATE($C$8,(A61-1)*12/$C$7)))</f>
        <v>47542</v>
      </c>
      <c r="C61" s="43" t="n">
        <f aca="false">IF(A61="","",$E$4)</f>
        <v>19566.1482187285</v>
      </c>
      <c r="D61" s="43" t="n">
        <f aca="false">IF(A61="","",C61-E61)</f>
        <v>18437.348168706</v>
      </c>
      <c r="E61" s="43" t="n">
        <f aca="false">IF(A61="","",F60*$C$5/$C$7)</f>
        <v>1128.8000500225</v>
      </c>
      <c r="F61" s="43" t="n">
        <f aca="false">IF(A61="","",MAX(0,F60-D61))</f>
        <v>189956.507220064</v>
      </c>
    </row>
    <row r="62" customFormat="false" ht="15" hidden="false" customHeight="false" outlineLevel="0" collapsed="false">
      <c r="A62" s="22" t="n">
        <f aca="false">IF(51&lt;=$E$5,51,"")</f>
        <v>51</v>
      </c>
      <c r="B62" s="42" t="n">
        <f aca="false">IF(A62="","",IF($C$8="","",EDATE($C$8,(A62-1)*12/$C$7)))</f>
        <v>47573</v>
      </c>
      <c r="C62" s="43" t="n">
        <f aca="false">IF(A62="","",$E$4)</f>
        <v>19566.1482187285</v>
      </c>
      <c r="D62" s="43" t="n">
        <f aca="false">IF(A62="","",C62-E62)</f>
        <v>18537.2171379532</v>
      </c>
      <c r="E62" s="43" t="n">
        <f aca="false">IF(A62="","",F61*$C$5/$C$7)</f>
        <v>1028.93108077535</v>
      </c>
      <c r="F62" s="43" t="n">
        <f aca="false">IF(A62="","",MAX(0,F61-D62))</f>
        <v>171419.290082111</v>
      </c>
    </row>
    <row r="63" customFormat="false" ht="15" hidden="false" customHeight="false" outlineLevel="0" collapsed="false">
      <c r="A63" s="22" t="n">
        <f aca="false">IF(52&lt;=$E$5,52,"")</f>
        <v>52</v>
      </c>
      <c r="B63" s="42" t="n">
        <f aca="false">IF(A63="","",IF($C$8="","",EDATE($C$8,(A63-1)*12/$C$7)))</f>
        <v>47603</v>
      </c>
      <c r="C63" s="43" t="n">
        <f aca="false">IF(A63="","",$E$4)</f>
        <v>19566.1482187285</v>
      </c>
      <c r="D63" s="43" t="n">
        <f aca="false">IF(A63="","",C63-E63)</f>
        <v>18637.6270641171</v>
      </c>
      <c r="E63" s="43" t="n">
        <f aca="false">IF(A63="","",F62*$C$5/$C$7)</f>
        <v>928.521154611433</v>
      </c>
      <c r="F63" s="43" t="n">
        <f aca="false">IF(A63="","",MAX(0,F62-D63))</f>
        <v>152781.663017994</v>
      </c>
    </row>
    <row r="64" customFormat="false" ht="15" hidden="false" customHeight="false" outlineLevel="0" collapsed="false">
      <c r="A64" s="22" t="n">
        <f aca="false">IF(53&lt;=$E$5,53,"")</f>
        <v>53</v>
      </c>
      <c r="B64" s="42" t="n">
        <f aca="false">IF(A64="","",IF($C$8="","",EDATE($C$8,(A64-1)*12/$C$7)))</f>
        <v>47634</v>
      </c>
      <c r="C64" s="43" t="n">
        <f aca="false">IF(A64="","",$E$4)</f>
        <v>19566.1482187285</v>
      </c>
      <c r="D64" s="43" t="n">
        <f aca="false">IF(A64="","",C64-E64)</f>
        <v>18738.5808773811</v>
      </c>
      <c r="E64" s="43" t="n">
        <f aca="false">IF(A64="","",F63*$C$5/$C$7)</f>
        <v>827.567341347465</v>
      </c>
      <c r="F64" s="43" t="n">
        <f aca="false">IF(A64="","",MAX(0,F63-D64))</f>
        <v>134043.082140612</v>
      </c>
    </row>
    <row r="65" customFormat="false" ht="15" hidden="false" customHeight="false" outlineLevel="0" collapsed="false">
      <c r="A65" s="22" t="n">
        <f aca="false">IF(54&lt;=$E$5,54,"")</f>
        <v>54</v>
      </c>
      <c r="B65" s="42" t="n">
        <f aca="false">IF(A65="","",IF($C$8="","",EDATE($C$8,(A65-1)*12/$C$7)))</f>
        <v>47664</v>
      </c>
      <c r="C65" s="43" t="n">
        <f aca="false">IF(A65="","",$E$4)</f>
        <v>19566.1482187285</v>
      </c>
      <c r="D65" s="43" t="n">
        <f aca="false">IF(A65="","",C65-E65)</f>
        <v>18840.0815238002</v>
      </c>
      <c r="E65" s="43" t="n">
        <f aca="false">IF(A65="","",F64*$C$5/$C$7)</f>
        <v>726.066694928318</v>
      </c>
      <c r="F65" s="43" t="n">
        <f aca="false">IF(A65="","",MAX(0,F64-D65))</f>
        <v>115203.000616812</v>
      </c>
    </row>
    <row r="66" customFormat="false" ht="15" hidden="false" customHeight="false" outlineLevel="0" collapsed="false">
      <c r="A66" s="22" t="n">
        <f aca="false">IF(55&lt;=$E$5,55,"")</f>
        <v>55</v>
      </c>
      <c r="B66" s="42" t="n">
        <f aca="false">IF(A66="","",IF($C$8="","",EDATE($C$8,(A66-1)*12/$C$7)))</f>
        <v>47695</v>
      </c>
      <c r="C66" s="43" t="n">
        <f aca="false">IF(A66="","",$E$4)</f>
        <v>19566.1482187285</v>
      </c>
      <c r="D66" s="43" t="n">
        <f aca="false">IF(A66="","",C66-E66)</f>
        <v>18942.1319653875</v>
      </c>
      <c r="E66" s="43" t="n">
        <f aca="false">IF(A66="","",F65*$C$5/$C$7)</f>
        <v>624.016253341066</v>
      </c>
      <c r="F66" s="43" t="n">
        <f aca="false">IF(A66="","",MAX(0,F65-D66))</f>
        <v>96260.8686514248</v>
      </c>
    </row>
    <row r="67" customFormat="false" ht="15" hidden="false" customHeight="false" outlineLevel="0" collapsed="false">
      <c r="A67" s="22" t="n">
        <f aca="false">IF(56&lt;=$E$5,56,"")</f>
        <v>56</v>
      </c>
      <c r="B67" s="42" t="n">
        <f aca="false">IF(A67="","",IF($C$8="","",EDATE($C$8,(A67-1)*12/$C$7)))</f>
        <v>47726</v>
      </c>
      <c r="C67" s="43" t="n">
        <f aca="false">IF(A67="","",$E$4)</f>
        <v>19566.1482187285</v>
      </c>
      <c r="D67" s="43" t="n">
        <f aca="false">IF(A67="","",C67-E67)</f>
        <v>19044.7351802</v>
      </c>
      <c r="E67" s="43" t="n">
        <f aca="false">IF(A67="","",F66*$C$5/$C$7)</f>
        <v>521.413038528551</v>
      </c>
      <c r="F67" s="43" t="n">
        <f aca="false">IF(A67="","",MAX(0,F66-D67))</f>
        <v>77216.1334712248</v>
      </c>
    </row>
    <row r="68" customFormat="false" ht="15" hidden="false" customHeight="false" outlineLevel="0" collapsed="false">
      <c r="A68" s="22" t="n">
        <f aca="false">IF(57&lt;=$E$5,57,"")</f>
        <v>57</v>
      </c>
      <c r="B68" s="42" t="n">
        <f aca="false">IF(A68="","",IF($C$8="","",EDATE($C$8,(A68-1)*12/$C$7)))</f>
        <v>47756</v>
      </c>
      <c r="C68" s="43" t="n">
        <f aca="false">IF(A68="","",$E$4)</f>
        <v>19566.1482187285</v>
      </c>
      <c r="D68" s="43" t="n">
        <f aca="false">IF(A68="","",C68-E68)</f>
        <v>19147.8941624261</v>
      </c>
      <c r="E68" s="43" t="n">
        <f aca="false">IF(A68="","",F67*$C$5/$C$7)</f>
        <v>418.254056302468</v>
      </c>
      <c r="F68" s="43" t="n">
        <f aca="false">IF(A68="","",MAX(0,F67-D68))</f>
        <v>58068.2393087987</v>
      </c>
    </row>
    <row r="69" customFormat="false" ht="15" hidden="false" customHeight="false" outlineLevel="0" collapsed="false">
      <c r="A69" s="22" t="n">
        <f aca="false">IF(58&lt;=$E$5,58,"")</f>
        <v>58</v>
      </c>
      <c r="B69" s="42" t="n">
        <f aca="false">IF(A69="","",IF($C$8="","",EDATE($C$8,(A69-1)*12/$C$7)))</f>
        <v>47787</v>
      </c>
      <c r="C69" s="43" t="n">
        <f aca="false">IF(A69="","",$E$4)</f>
        <v>19566.1482187285</v>
      </c>
      <c r="D69" s="43" t="n">
        <f aca="false">IF(A69="","",C69-E69)</f>
        <v>19251.6119224726</v>
      </c>
      <c r="E69" s="43" t="n">
        <f aca="false">IF(A69="","",F68*$C$5/$C$7)</f>
        <v>314.536296255993</v>
      </c>
      <c r="F69" s="43" t="n">
        <f aca="false">IF(A69="","",MAX(0,F68-D69))</f>
        <v>38816.6273863261</v>
      </c>
    </row>
    <row r="70" customFormat="false" ht="15" hidden="false" customHeight="false" outlineLevel="0" collapsed="false">
      <c r="A70" s="22" t="n">
        <f aca="false">IF(59&lt;=$E$5,59,"")</f>
        <v>59</v>
      </c>
      <c r="B70" s="42" t="n">
        <f aca="false">IF(A70="","",IF($C$8="","",EDATE($C$8,(A70-1)*12/$C$7)))</f>
        <v>47817</v>
      </c>
      <c r="C70" s="43" t="n">
        <f aca="false">IF(A70="","",$E$4)</f>
        <v>19566.1482187285</v>
      </c>
      <c r="D70" s="43" t="n">
        <f aca="false">IF(A70="","",C70-E70)</f>
        <v>19355.8914870526</v>
      </c>
      <c r="E70" s="43" t="n">
        <f aca="false">IF(A70="","",F69*$C$5/$C$7)</f>
        <v>210.256731675933</v>
      </c>
      <c r="F70" s="43" t="n">
        <f aca="false">IF(A70="","",MAX(0,F69-D70))</f>
        <v>19460.7358992735</v>
      </c>
    </row>
    <row r="71" customFormat="false" ht="15" hidden="false" customHeight="false" outlineLevel="0" collapsed="false">
      <c r="A71" s="22" t="n">
        <f aca="false">IF(60&lt;=$E$5,60,"")</f>
        <v>60</v>
      </c>
      <c r="B71" s="42" t="n">
        <f aca="false">IF(A71="","",IF($C$8="","",EDATE($C$8,(A71-1)*12/$C$7)))</f>
        <v>47848</v>
      </c>
      <c r="C71" s="43" t="n">
        <f aca="false">IF(A71="","",$E$4)</f>
        <v>19566.1482187285</v>
      </c>
      <c r="D71" s="43" t="n">
        <f aca="false">IF(A71="","",C71-E71)</f>
        <v>19460.7358992742</v>
      </c>
      <c r="E71" s="43" t="n">
        <f aca="false">IF(A71="","",F70*$C$5/$C$7)</f>
        <v>105.412319454398</v>
      </c>
      <c r="F71" s="43" t="n">
        <f aca="false">IF(A71="","",MAX(0,F70-D71))</f>
        <v>0</v>
      </c>
    </row>
    <row r="72" customFormat="false" ht="15" hidden="false" customHeight="false" outlineLevel="0" collapsed="false">
      <c r="A72" s="22" t="str">
        <f aca="false">IF(61&lt;=$E$5,61,"")</f>
        <v/>
      </c>
      <c r="B72" s="42" t="str">
        <f aca="false">IF(A72="","",IF($C$8="","",EDATE($C$8,(A72-1)*12/$C$7)))</f>
        <v/>
      </c>
      <c r="C72" s="43" t="str">
        <f aca="false">IF(A72="","",$E$4)</f>
        <v/>
      </c>
      <c r="D72" s="43" t="str">
        <f aca="false">IF(A72="","",C72-E72)</f>
        <v/>
      </c>
      <c r="E72" s="43" t="str">
        <f aca="false">IF(A72="","",F71*$C$5/$C$7)</f>
        <v/>
      </c>
      <c r="F72" s="43" t="str">
        <f aca="false">IF(A72="","",MAX(0,F71-D72))</f>
        <v/>
      </c>
    </row>
    <row r="73" customFormat="false" ht="15" hidden="false" customHeight="false" outlineLevel="0" collapsed="false">
      <c r="A73" s="22" t="str">
        <f aca="false">IF(62&lt;=$E$5,62,"")</f>
        <v/>
      </c>
      <c r="B73" s="42" t="str">
        <f aca="false">IF(A73="","",IF($C$8="","",EDATE($C$8,(A73-1)*12/$C$7)))</f>
        <v/>
      </c>
      <c r="C73" s="43" t="str">
        <f aca="false">IF(A73="","",$E$4)</f>
        <v/>
      </c>
      <c r="D73" s="43" t="str">
        <f aca="false">IF(A73="","",C73-E73)</f>
        <v/>
      </c>
      <c r="E73" s="43" t="str">
        <f aca="false">IF(A73="","",F72*$C$5/$C$7)</f>
        <v/>
      </c>
      <c r="F73" s="43" t="str">
        <f aca="false">IF(A73="","",MAX(0,F72-D73))</f>
        <v/>
      </c>
    </row>
    <row r="74" customFormat="false" ht="15" hidden="false" customHeight="false" outlineLevel="0" collapsed="false">
      <c r="A74" s="22" t="str">
        <f aca="false">IF(63&lt;=$E$5,63,"")</f>
        <v/>
      </c>
      <c r="B74" s="42" t="str">
        <f aca="false">IF(A74="","",IF($C$8="","",EDATE($C$8,(A74-1)*12/$C$7)))</f>
        <v/>
      </c>
      <c r="C74" s="43" t="str">
        <f aca="false">IF(A74="","",$E$4)</f>
        <v/>
      </c>
      <c r="D74" s="43" t="str">
        <f aca="false">IF(A74="","",C74-E74)</f>
        <v/>
      </c>
      <c r="E74" s="43" t="str">
        <f aca="false">IF(A74="","",F73*$C$5/$C$7)</f>
        <v/>
      </c>
      <c r="F74" s="43" t="str">
        <f aca="false">IF(A74="","",MAX(0,F73-D74))</f>
        <v/>
      </c>
    </row>
    <row r="75" customFormat="false" ht="15" hidden="false" customHeight="false" outlineLevel="0" collapsed="false">
      <c r="A75" s="22" t="str">
        <f aca="false">IF(64&lt;=$E$5,64,"")</f>
        <v/>
      </c>
      <c r="B75" s="42" t="str">
        <f aca="false">IF(A75="","",IF($C$8="","",EDATE($C$8,(A75-1)*12/$C$7)))</f>
        <v/>
      </c>
      <c r="C75" s="43" t="str">
        <f aca="false">IF(A75="","",$E$4)</f>
        <v/>
      </c>
      <c r="D75" s="43" t="str">
        <f aca="false">IF(A75="","",C75-E75)</f>
        <v/>
      </c>
      <c r="E75" s="43" t="str">
        <f aca="false">IF(A75="","",F74*$C$5/$C$7)</f>
        <v/>
      </c>
      <c r="F75" s="43" t="str">
        <f aca="false">IF(A75="","",MAX(0,F74-D75))</f>
        <v/>
      </c>
    </row>
    <row r="76" customFormat="false" ht="15" hidden="false" customHeight="false" outlineLevel="0" collapsed="false">
      <c r="A76" s="22" t="str">
        <f aca="false">IF(65&lt;=$E$5,65,"")</f>
        <v/>
      </c>
      <c r="B76" s="42" t="str">
        <f aca="false">IF(A76="","",IF($C$8="","",EDATE($C$8,(A76-1)*12/$C$7)))</f>
        <v/>
      </c>
      <c r="C76" s="43" t="str">
        <f aca="false">IF(A76="","",$E$4)</f>
        <v/>
      </c>
      <c r="D76" s="43" t="str">
        <f aca="false">IF(A76="","",C76-E76)</f>
        <v/>
      </c>
      <c r="E76" s="43" t="str">
        <f aca="false">IF(A76="","",F75*$C$5/$C$7)</f>
        <v/>
      </c>
      <c r="F76" s="43" t="str">
        <f aca="false">IF(A76="","",MAX(0,F75-D76))</f>
        <v/>
      </c>
    </row>
    <row r="77" customFormat="false" ht="15" hidden="false" customHeight="false" outlineLevel="0" collapsed="false">
      <c r="A77" s="22" t="str">
        <f aca="false">IF(66&lt;=$E$5,66,"")</f>
        <v/>
      </c>
      <c r="B77" s="42" t="str">
        <f aca="false">IF(A77="","",IF($C$8="","",EDATE($C$8,(A77-1)*12/$C$7)))</f>
        <v/>
      </c>
      <c r="C77" s="43" t="str">
        <f aca="false">IF(A77="","",$E$4)</f>
        <v/>
      </c>
      <c r="D77" s="43" t="str">
        <f aca="false">IF(A77="","",C77-E77)</f>
        <v/>
      </c>
      <c r="E77" s="43" t="str">
        <f aca="false">IF(A77="","",F76*$C$5/$C$7)</f>
        <v/>
      </c>
      <c r="F77" s="43" t="str">
        <f aca="false">IF(A77="","",MAX(0,F76-D77))</f>
        <v/>
      </c>
    </row>
    <row r="78" customFormat="false" ht="15" hidden="false" customHeight="false" outlineLevel="0" collapsed="false">
      <c r="A78" s="22" t="str">
        <f aca="false">IF(67&lt;=$E$5,67,"")</f>
        <v/>
      </c>
      <c r="B78" s="42" t="str">
        <f aca="false">IF(A78="","",IF($C$8="","",EDATE($C$8,(A78-1)*12/$C$7)))</f>
        <v/>
      </c>
      <c r="C78" s="43" t="str">
        <f aca="false">IF(A78="","",$E$4)</f>
        <v/>
      </c>
      <c r="D78" s="43" t="str">
        <f aca="false">IF(A78="","",C78-E78)</f>
        <v/>
      </c>
      <c r="E78" s="43" t="str">
        <f aca="false">IF(A78="","",F77*$C$5/$C$7)</f>
        <v/>
      </c>
      <c r="F78" s="43" t="str">
        <f aca="false">IF(A78="","",MAX(0,F77-D78))</f>
        <v/>
      </c>
    </row>
    <row r="79" customFormat="false" ht="15" hidden="false" customHeight="false" outlineLevel="0" collapsed="false">
      <c r="A79" s="22" t="str">
        <f aca="false">IF(68&lt;=$E$5,68,"")</f>
        <v/>
      </c>
      <c r="B79" s="42" t="str">
        <f aca="false">IF(A79="","",IF($C$8="","",EDATE($C$8,(A79-1)*12/$C$7)))</f>
        <v/>
      </c>
      <c r="C79" s="43" t="str">
        <f aca="false">IF(A79="","",$E$4)</f>
        <v/>
      </c>
      <c r="D79" s="43" t="str">
        <f aca="false">IF(A79="","",C79-E79)</f>
        <v/>
      </c>
      <c r="E79" s="43" t="str">
        <f aca="false">IF(A79="","",F78*$C$5/$C$7)</f>
        <v/>
      </c>
      <c r="F79" s="43" t="str">
        <f aca="false">IF(A79="","",MAX(0,F78-D79))</f>
        <v/>
      </c>
    </row>
    <row r="80" customFormat="false" ht="15" hidden="false" customHeight="false" outlineLevel="0" collapsed="false">
      <c r="A80" s="22" t="str">
        <f aca="false">IF(69&lt;=$E$5,69,"")</f>
        <v/>
      </c>
      <c r="B80" s="42" t="str">
        <f aca="false">IF(A80="","",IF($C$8="","",EDATE($C$8,(A80-1)*12/$C$7)))</f>
        <v/>
      </c>
      <c r="C80" s="43" t="str">
        <f aca="false">IF(A80="","",$E$4)</f>
        <v/>
      </c>
      <c r="D80" s="43" t="str">
        <f aca="false">IF(A80="","",C80-E80)</f>
        <v/>
      </c>
      <c r="E80" s="43" t="str">
        <f aca="false">IF(A80="","",F79*$C$5/$C$7)</f>
        <v/>
      </c>
      <c r="F80" s="43" t="str">
        <f aca="false">IF(A80="","",MAX(0,F79-D80))</f>
        <v/>
      </c>
    </row>
    <row r="81" customFormat="false" ht="15" hidden="false" customHeight="false" outlineLevel="0" collapsed="false">
      <c r="A81" s="22" t="str">
        <f aca="false">IF(70&lt;=$E$5,70,"")</f>
        <v/>
      </c>
      <c r="B81" s="42" t="str">
        <f aca="false">IF(A81="","",IF($C$8="","",EDATE($C$8,(A81-1)*12/$C$7)))</f>
        <v/>
      </c>
      <c r="C81" s="43" t="str">
        <f aca="false">IF(A81="","",$E$4)</f>
        <v/>
      </c>
      <c r="D81" s="43" t="str">
        <f aca="false">IF(A81="","",C81-E81)</f>
        <v/>
      </c>
      <c r="E81" s="43" t="str">
        <f aca="false">IF(A81="","",F80*$C$5/$C$7)</f>
        <v/>
      </c>
      <c r="F81" s="43" t="str">
        <f aca="false">IF(A81="","",MAX(0,F80-D81))</f>
        <v/>
      </c>
    </row>
    <row r="82" customFormat="false" ht="15" hidden="false" customHeight="false" outlineLevel="0" collapsed="false">
      <c r="A82" s="22" t="str">
        <f aca="false">IF(71&lt;=$E$5,71,"")</f>
        <v/>
      </c>
      <c r="B82" s="42" t="str">
        <f aca="false">IF(A82="","",IF($C$8="","",EDATE($C$8,(A82-1)*12/$C$7)))</f>
        <v/>
      </c>
      <c r="C82" s="43" t="str">
        <f aca="false">IF(A82="","",$E$4)</f>
        <v/>
      </c>
      <c r="D82" s="43" t="str">
        <f aca="false">IF(A82="","",C82-E82)</f>
        <v/>
      </c>
      <c r="E82" s="43" t="str">
        <f aca="false">IF(A82="","",F81*$C$5/$C$7)</f>
        <v/>
      </c>
      <c r="F82" s="43" t="str">
        <f aca="false">IF(A82="","",MAX(0,F81-D82))</f>
        <v/>
      </c>
    </row>
    <row r="83" customFormat="false" ht="15" hidden="false" customHeight="false" outlineLevel="0" collapsed="false">
      <c r="A83" s="22" t="str">
        <f aca="false">IF(72&lt;=$E$5,72,"")</f>
        <v/>
      </c>
      <c r="B83" s="42" t="str">
        <f aca="false">IF(A83="","",IF($C$8="","",EDATE($C$8,(A83-1)*12/$C$7)))</f>
        <v/>
      </c>
      <c r="C83" s="43" t="str">
        <f aca="false">IF(A83="","",$E$4)</f>
        <v/>
      </c>
      <c r="D83" s="43" t="str">
        <f aca="false">IF(A83="","",C83-E83)</f>
        <v/>
      </c>
      <c r="E83" s="43" t="str">
        <f aca="false">IF(A83="","",F82*$C$5/$C$7)</f>
        <v/>
      </c>
      <c r="F83" s="43" t="str">
        <f aca="false">IF(A83="","",MAX(0,F82-D83))</f>
        <v/>
      </c>
    </row>
    <row r="84" customFormat="false" ht="15" hidden="false" customHeight="false" outlineLevel="0" collapsed="false">
      <c r="A84" s="22" t="str">
        <f aca="false">IF(73&lt;=$E$5,73,"")</f>
        <v/>
      </c>
      <c r="B84" s="42" t="str">
        <f aca="false">IF(A84="","",IF($C$8="","",EDATE($C$8,(A84-1)*12/$C$7)))</f>
        <v/>
      </c>
      <c r="C84" s="43" t="str">
        <f aca="false">IF(A84="","",$E$4)</f>
        <v/>
      </c>
      <c r="D84" s="43" t="str">
        <f aca="false">IF(A84="","",C84-E84)</f>
        <v/>
      </c>
      <c r="E84" s="43" t="str">
        <f aca="false">IF(A84="","",F83*$C$5/$C$7)</f>
        <v/>
      </c>
      <c r="F84" s="43" t="str">
        <f aca="false">IF(A84="","",MAX(0,F83-D84))</f>
        <v/>
      </c>
    </row>
    <row r="85" customFormat="false" ht="15" hidden="false" customHeight="false" outlineLevel="0" collapsed="false">
      <c r="A85" s="22" t="str">
        <f aca="false">IF(74&lt;=$E$5,74,"")</f>
        <v/>
      </c>
      <c r="B85" s="42" t="str">
        <f aca="false">IF(A85="","",IF($C$8="","",EDATE($C$8,(A85-1)*12/$C$7)))</f>
        <v/>
      </c>
      <c r="C85" s="43" t="str">
        <f aca="false">IF(A85="","",$E$4)</f>
        <v/>
      </c>
      <c r="D85" s="43" t="str">
        <f aca="false">IF(A85="","",C85-E85)</f>
        <v/>
      </c>
      <c r="E85" s="43" t="str">
        <f aca="false">IF(A85="","",F84*$C$5/$C$7)</f>
        <v/>
      </c>
      <c r="F85" s="43" t="str">
        <f aca="false">IF(A85="","",MAX(0,F84-D85))</f>
        <v/>
      </c>
    </row>
    <row r="86" customFormat="false" ht="15" hidden="false" customHeight="false" outlineLevel="0" collapsed="false">
      <c r="A86" s="22" t="str">
        <f aca="false">IF(75&lt;=$E$5,75,"")</f>
        <v/>
      </c>
      <c r="B86" s="42" t="str">
        <f aca="false">IF(A86="","",IF($C$8="","",EDATE($C$8,(A86-1)*12/$C$7)))</f>
        <v/>
      </c>
      <c r="C86" s="43" t="str">
        <f aca="false">IF(A86="","",$E$4)</f>
        <v/>
      </c>
      <c r="D86" s="43" t="str">
        <f aca="false">IF(A86="","",C86-E86)</f>
        <v/>
      </c>
      <c r="E86" s="43" t="str">
        <f aca="false">IF(A86="","",F85*$C$5/$C$7)</f>
        <v/>
      </c>
      <c r="F86" s="43" t="str">
        <f aca="false">IF(A86="","",MAX(0,F85-D86))</f>
        <v/>
      </c>
    </row>
    <row r="87" customFormat="false" ht="15" hidden="false" customHeight="false" outlineLevel="0" collapsed="false">
      <c r="A87" s="22" t="str">
        <f aca="false">IF(76&lt;=$E$5,76,"")</f>
        <v/>
      </c>
      <c r="B87" s="42" t="str">
        <f aca="false">IF(A87="","",IF($C$8="","",EDATE($C$8,(A87-1)*12/$C$7)))</f>
        <v/>
      </c>
      <c r="C87" s="43" t="str">
        <f aca="false">IF(A87="","",$E$4)</f>
        <v/>
      </c>
      <c r="D87" s="43" t="str">
        <f aca="false">IF(A87="","",C87-E87)</f>
        <v/>
      </c>
      <c r="E87" s="43" t="str">
        <f aca="false">IF(A87="","",F86*$C$5/$C$7)</f>
        <v/>
      </c>
      <c r="F87" s="43" t="str">
        <f aca="false">IF(A87="","",MAX(0,F86-D87))</f>
        <v/>
      </c>
    </row>
    <row r="88" customFormat="false" ht="15" hidden="false" customHeight="false" outlineLevel="0" collapsed="false">
      <c r="A88" s="22" t="str">
        <f aca="false">IF(77&lt;=$E$5,77,"")</f>
        <v/>
      </c>
      <c r="B88" s="42" t="str">
        <f aca="false">IF(A88="","",IF($C$8="","",EDATE($C$8,(A88-1)*12/$C$7)))</f>
        <v/>
      </c>
      <c r="C88" s="43" t="str">
        <f aca="false">IF(A88="","",$E$4)</f>
        <v/>
      </c>
      <c r="D88" s="43" t="str">
        <f aca="false">IF(A88="","",C88-E88)</f>
        <v/>
      </c>
      <c r="E88" s="43" t="str">
        <f aca="false">IF(A88="","",F87*$C$5/$C$7)</f>
        <v/>
      </c>
      <c r="F88" s="43" t="str">
        <f aca="false">IF(A88="","",MAX(0,F87-D88))</f>
        <v/>
      </c>
    </row>
    <row r="89" customFormat="false" ht="15" hidden="false" customHeight="false" outlineLevel="0" collapsed="false">
      <c r="A89" s="22" t="str">
        <f aca="false">IF(78&lt;=$E$5,78,"")</f>
        <v/>
      </c>
      <c r="B89" s="42" t="str">
        <f aca="false">IF(A89="","",IF($C$8="","",EDATE($C$8,(A89-1)*12/$C$7)))</f>
        <v/>
      </c>
      <c r="C89" s="43" t="str">
        <f aca="false">IF(A89="","",$E$4)</f>
        <v/>
      </c>
      <c r="D89" s="43" t="str">
        <f aca="false">IF(A89="","",C89-E89)</f>
        <v/>
      </c>
      <c r="E89" s="43" t="str">
        <f aca="false">IF(A89="","",F88*$C$5/$C$7)</f>
        <v/>
      </c>
      <c r="F89" s="43" t="str">
        <f aca="false">IF(A89="","",MAX(0,F88-D89))</f>
        <v/>
      </c>
    </row>
    <row r="90" customFormat="false" ht="15" hidden="false" customHeight="false" outlineLevel="0" collapsed="false">
      <c r="A90" s="22" t="str">
        <f aca="false">IF(79&lt;=$E$5,79,"")</f>
        <v/>
      </c>
      <c r="B90" s="42" t="str">
        <f aca="false">IF(A90="","",IF($C$8="","",EDATE($C$8,(A90-1)*12/$C$7)))</f>
        <v/>
      </c>
      <c r="C90" s="43" t="str">
        <f aca="false">IF(A90="","",$E$4)</f>
        <v/>
      </c>
      <c r="D90" s="43" t="str">
        <f aca="false">IF(A90="","",C90-E90)</f>
        <v/>
      </c>
      <c r="E90" s="43" t="str">
        <f aca="false">IF(A90="","",F89*$C$5/$C$7)</f>
        <v/>
      </c>
      <c r="F90" s="43" t="str">
        <f aca="false">IF(A90="","",MAX(0,F89-D90))</f>
        <v/>
      </c>
    </row>
    <row r="91" customFormat="false" ht="15" hidden="false" customHeight="false" outlineLevel="0" collapsed="false">
      <c r="A91" s="22" t="str">
        <f aca="false">IF(80&lt;=$E$5,80,"")</f>
        <v/>
      </c>
      <c r="B91" s="42" t="str">
        <f aca="false">IF(A91="","",IF($C$8="","",EDATE($C$8,(A91-1)*12/$C$7)))</f>
        <v/>
      </c>
      <c r="C91" s="43" t="str">
        <f aca="false">IF(A91="","",$E$4)</f>
        <v/>
      </c>
      <c r="D91" s="43" t="str">
        <f aca="false">IF(A91="","",C91-E91)</f>
        <v/>
      </c>
      <c r="E91" s="43" t="str">
        <f aca="false">IF(A91="","",F90*$C$5/$C$7)</f>
        <v/>
      </c>
      <c r="F91" s="43" t="str">
        <f aca="false">IF(A91="","",MAX(0,F90-D91))</f>
        <v/>
      </c>
    </row>
    <row r="92" customFormat="false" ht="15" hidden="false" customHeight="false" outlineLevel="0" collapsed="false">
      <c r="A92" s="22" t="str">
        <f aca="false">IF(81&lt;=$E$5,81,"")</f>
        <v/>
      </c>
      <c r="B92" s="42" t="str">
        <f aca="false">IF(A92="","",IF($C$8="","",EDATE($C$8,(A92-1)*12/$C$7)))</f>
        <v/>
      </c>
      <c r="C92" s="43" t="str">
        <f aca="false">IF(A92="","",$E$4)</f>
        <v/>
      </c>
      <c r="D92" s="43" t="str">
        <f aca="false">IF(A92="","",C92-E92)</f>
        <v/>
      </c>
      <c r="E92" s="43" t="str">
        <f aca="false">IF(A92="","",F91*$C$5/$C$7)</f>
        <v/>
      </c>
      <c r="F92" s="43" t="str">
        <f aca="false">IF(A92="","",MAX(0,F91-D92))</f>
        <v/>
      </c>
    </row>
    <row r="93" customFormat="false" ht="15" hidden="false" customHeight="false" outlineLevel="0" collapsed="false">
      <c r="A93" s="22" t="str">
        <f aca="false">IF(82&lt;=$E$5,82,"")</f>
        <v/>
      </c>
      <c r="B93" s="42" t="str">
        <f aca="false">IF(A93="","",IF($C$8="","",EDATE($C$8,(A93-1)*12/$C$7)))</f>
        <v/>
      </c>
      <c r="C93" s="43" t="str">
        <f aca="false">IF(A93="","",$E$4)</f>
        <v/>
      </c>
      <c r="D93" s="43" t="str">
        <f aca="false">IF(A93="","",C93-E93)</f>
        <v/>
      </c>
      <c r="E93" s="43" t="str">
        <f aca="false">IF(A93="","",F92*$C$5/$C$7)</f>
        <v/>
      </c>
      <c r="F93" s="43" t="str">
        <f aca="false">IF(A93="","",MAX(0,F92-D93))</f>
        <v/>
      </c>
    </row>
    <row r="94" customFormat="false" ht="15" hidden="false" customHeight="false" outlineLevel="0" collapsed="false">
      <c r="A94" s="22" t="str">
        <f aca="false">IF(83&lt;=$E$5,83,"")</f>
        <v/>
      </c>
      <c r="B94" s="42" t="str">
        <f aca="false">IF(A94="","",IF($C$8="","",EDATE($C$8,(A94-1)*12/$C$7)))</f>
        <v/>
      </c>
      <c r="C94" s="43" t="str">
        <f aca="false">IF(A94="","",$E$4)</f>
        <v/>
      </c>
      <c r="D94" s="43" t="str">
        <f aca="false">IF(A94="","",C94-E94)</f>
        <v/>
      </c>
      <c r="E94" s="43" t="str">
        <f aca="false">IF(A94="","",F93*$C$5/$C$7)</f>
        <v/>
      </c>
      <c r="F94" s="43" t="str">
        <f aca="false">IF(A94="","",MAX(0,F93-D94))</f>
        <v/>
      </c>
    </row>
    <row r="95" customFormat="false" ht="15" hidden="false" customHeight="false" outlineLevel="0" collapsed="false">
      <c r="A95" s="22" t="str">
        <f aca="false">IF(84&lt;=$E$5,84,"")</f>
        <v/>
      </c>
      <c r="B95" s="42" t="str">
        <f aca="false">IF(A95="","",IF($C$8="","",EDATE($C$8,(A95-1)*12/$C$7)))</f>
        <v/>
      </c>
      <c r="C95" s="43" t="str">
        <f aca="false">IF(A95="","",$E$4)</f>
        <v/>
      </c>
      <c r="D95" s="43" t="str">
        <f aca="false">IF(A95="","",C95-E95)</f>
        <v/>
      </c>
      <c r="E95" s="43" t="str">
        <f aca="false">IF(A95="","",F94*$C$5/$C$7)</f>
        <v/>
      </c>
      <c r="F95" s="43" t="str">
        <f aca="false">IF(A95="","",MAX(0,F94-D95))</f>
        <v/>
      </c>
    </row>
    <row r="96" customFormat="false" ht="15" hidden="false" customHeight="false" outlineLevel="0" collapsed="false">
      <c r="A96" s="22" t="str">
        <f aca="false">IF(85&lt;=$E$5,85,"")</f>
        <v/>
      </c>
      <c r="B96" s="42" t="str">
        <f aca="false">IF(A96="","",IF($C$8="","",EDATE($C$8,(A96-1)*12/$C$7)))</f>
        <v/>
      </c>
      <c r="C96" s="43" t="str">
        <f aca="false">IF(A96="","",$E$4)</f>
        <v/>
      </c>
      <c r="D96" s="43" t="str">
        <f aca="false">IF(A96="","",C96-E96)</f>
        <v/>
      </c>
      <c r="E96" s="43" t="str">
        <f aca="false">IF(A96="","",F95*$C$5/$C$7)</f>
        <v/>
      </c>
      <c r="F96" s="43" t="str">
        <f aca="false">IF(A96="","",MAX(0,F95-D96))</f>
        <v/>
      </c>
    </row>
    <row r="97" customFormat="false" ht="15" hidden="false" customHeight="false" outlineLevel="0" collapsed="false">
      <c r="A97" s="22" t="str">
        <f aca="false">IF(86&lt;=$E$5,86,"")</f>
        <v/>
      </c>
      <c r="B97" s="42" t="str">
        <f aca="false">IF(A97="","",IF($C$8="","",EDATE($C$8,(A97-1)*12/$C$7)))</f>
        <v/>
      </c>
      <c r="C97" s="43" t="str">
        <f aca="false">IF(A97="","",$E$4)</f>
        <v/>
      </c>
      <c r="D97" s="43" t="str">
        <f aca="false">IF(A97="","",C97-E97)</f>
        <v/>
      </c>
      <c r="E97" s="43" t="str">
        <f aca="false">IF(A97="","",F96*$C$5/$C$7)</f>
        <v/>
      </c>
      <c r="F97" s="43" t="str">
        <f aca="false">IF(A97="","",MAX(0,F96-D97))</f>
        <v/>
      </c>
    </row>
    <row r="98" customFormat="false" ht="15" hidden="false" customHeight="false" outlineLevel="0" collapsed="false">
      <c r="A98" s="22" t="str">
        <f aca="false">IF(87&lt;=$E$5,87,"")</f>
        <v/>
      </c>
      <c r="B98" s="42" t="str">
        <f aca="false">IF(A98="","",IF($C$8="","",EDATE($C$8,(A98-1)*12/$C$7)))</f>
        <v/>
      </c>
      <c r="C98" s="43" t="str">
        <f aca="false">IF(A98="","",$E$4)</f>
        <v/>
      </c>
      <c r="D98" s="43" t="str">
        <f aca="false">IF(A98="","",C98-E98)</f>
        <v/>
      </c>
      <c r="E98" s="43" t="str">
        <f aca="false">IF(A98="","",F97*$C$5/$C$7)</f>
        <v/>
      </c>
      <c r="F98" s="43" t="str">
        <f aca="false">IF(A98="","",MAX(0,F97-D98))</f>
        <v/>
      </c>
    </row>
    <row r="99" customFormat="false" ht="15" hidden="false" customHeight="false" outlineLevel="0" collapsed="false">
      <c r="A99" s="22" t="str">
        <f aca="false">IF(88&lt;=$E$5,88,"")</f>
        <v/>
      </c>
      <c r="B99" s="42" t="str">
        <f aca="false">IF(A99="","",IF($C$8="","",EDATE($C$8,(A99-1)*12/$C$7)))</f>
        <v/>
      </c>
      <c r="C99" s="43" t="str">
        <f aca="false">IF(A99="","",$E$4)</f>
        <v/>
      </c>
      <c r="D99" s="43" t="str">
        <f aca="false">IF(A99="","",C99-E99)</f>
        <v/>
      </c>
      <c r="E99" s="43" t="str">
        <f aca="false">IF(A99="","",F98*$C$5/$C$7)</f>
        <v/>
      </c>
      <c r="F99" s="43" t="str">
        <f aca="false">IF(A99="","",MAX(0,F98-D99))</f>
        <v/>
      </c>
    </row>
    <row r="100" customFormat="false" ht="15" hidden="false" customHeight="false" outlineLevel="0" collapsed="false">
      <c r="A100" s="22" t="str">
        <f aca="false">IF(89&lt;=$E$5,89,"")</f>
        <v/>
      </c>
      <c r="B100" s="42" t="str">
        <f aca="false">IF(A100="","",IF($C$8="","",EDATE($C$8,(A100-1)*12/$C$7)))</f>
        <v/>
      </c>
      <c r="C100" s="43" t="str">
        <f aca="false">IF(A100="","",$E$4)</f>
        <v/>
      </c>
      <c r="D100" s="43" t="str">
        <f aca="false">IF(A100="","",C100-E100)</f>
        <v/>
      </c>
      <c r="E100" s="43" t="str">
        <f aca="false">IF(A100="","",F99*$C$5/$C$7)</f>
        <v/>
      </c>
      <c r="F100" s="43" t="str">
        <f aca="false">IF(A100="","",MAX(0,F99-D100))</f>
        <v/>
      </c>
    </row>
    <row r="101" customFormat="false" ht="15" hidden="false" customHeight="false" outlineLevel="0" collapsed="false">
      <c r="A101" s="22" t="str">
        <f aca="false">IF(90&lt;=$E$5,90,"")</f>
        <v/>
      </c>
      <c r="B101" s="42" t="str">
        <f aca="false">IF(A101="","",IF($C$8="","",EDATE($C$8,(A101-1)*12/$C$7)))</f>
        <v/>
      </c>
      <c r="C101" s="43" t="str">
        <f aca="false">IF(A101="","",$E$4)</f>
        <v/>
      </c>
      <c r="D101" s="43" t="str">
        <f aca="false">IF(A101="","",C101-E101)</f>
        <v/>
      </c>
      <c r="E101" s="43" t="str">
        <f aca="false">IF(A101="","",F100*$C$5/$C$7)</f>
        <v/>
      </c>
      <c r="F101" s="43" t="str">
        <f aca="false">IF(A101="","",MAX(0,F100-D101))</f>
        <v/>
      </c>
    </row>
    <row r="102" customFormat="false" ht="15" hidden="false" customHeight="false" outlineLevel="0" collapsed="false">
      <c r="A102" s="22" t="str">
        <f aca="false">IF(91&lt;=$E$5,91,"")</f>
        <v/>
      </c>
      <c r="B102" s="42" t="str">
        <f aca="false">IF(A102="","",IF($C$8="","",EDATE($C$8,(A102-1)*12/$C$7)))</f>
        <v/>
      </c>
      <c r="C102" s="43" t="str">
        <f aca="false">IF(A102="","",$E$4)</f>
        <v/>
      </c>
      <c r="D102" s="43" t="str">
        <f aca="false">IF(A102="","",C102-E102)</f>
        <v/>
      </c>
      <c r="E102" s="43" t="str">
        <f aca="false">IF(A102="","",F101*$C$5/$C$7)</f>
        <v/>
      </c>
      <c r="F102" s="43" t="str">
        <f aca="false">IF(A102="","",MAX(0,F101-D102))</f>
        <v/>
      </c>
    </row>
    <row r="103" customFormat="false" ht="15" hidden="false" customHeight="false" outlineLevel="0" collapsed="false">
      <c r="A103" s="22" t="str">
        <f aca="false">IF(92&lt;=$E$5,92,"")</f>
        <v/>
      </c>
      <c r="B103" s="42" t="str">
        <f aca="false">IF(A103="","",IF($C$8="","",EDATE($C$8,(A103-1)*12/$C$7)))</f>
        <v/>
      </c>
      <c r="C103" s="43" t="str">
        <f aca="false">IF(A103="","",$E$4)</f>
        <v/>
      </c>
      <c r="D103" s="43" t="str">
        <f aca="false">IF(A103="","",C103-E103)</f>
        <v/>
      </c>
      <c r="E103" s="43" t="str">
        <f aca="false">IF(A103="","",F102*$C$5/$C$7)</f>
        <v/>
      </c>
      <c r="F103" s="43" t="str">
        <f aca="false">IF(A103="","",MAX(0,F102-D103))</f>
        <v/>
      </c>
    </row>
    <row r="104" customFormat="false" ht="15" hidden="false" customHeight="false" outlineLevel="0" collapsed="false">
      <c r="A104" s="22" t="str">
        <f aca="false">IF(93&lt;=$E$5,93,"")</f>
        <v/>
      </c>
      <c r="B104" s="42" t="str">
        <f aca="false">IF(A104="","",IF($C$8="","",EDATE($C$8,(A104-1)*12/$C$7)))</f>
        <v/>
      </c>
      <c r="C104" s="43" t="str">
        <f aca="false">IF(A104="","",$E$4)</f>
        <v/>
      </c>
      <c r="D104" s="43" t="str">
        <f aca="false">IF(A104="","",C104-E104)</f>
        <v/>
      </c>
      <c r="E104" s="43" t="str">
        <f aca="false">IF(A104="","",F103*$C$5/$C$7)</f>
        <v/>
      </c>
      <c r="F104" s="43" t="str">
        <f aca="false">IF(A104="","",MAX(0,F103-D104))</f>
        <v/>
      </c>
    </row>
    <row r="105" customFormat="false" ht="15" hidden="false" customHeight="false" outlineLevel="0" collapsed="false">
      <c r="A105" s="22" t="str">
        <f aca="false">IF(94&lt;=$E$5,94,"")</f>
        <v/>
      </c>
      <c r="B105" s="42" t="str">
        <f aca="false">IF(A105="","",IF($C$8="","",EDATE($C$8,(A105-1)*12/$C$7)))</f>
        <v/>
      </c>
      <c r="C105" s="43" t="str">
        <f aca="false">IF(A105="","",$E$4)</f>
        <v/>
      </c>
      <c r="D105" s="43" t="str">
        <f aca="false">IF(A105="","",C105-E105)</f>
        <v/>
      </c>
      <c r="E105" s="43" t="str">
        <f aca="false">IF(A105="","",F104*$C$5/$C$7)</f>
        <v/>
      </c>
      <c r="F105" s="43" t="str">
        <f aca="false">IF(A105="","",MAX(0,F104-D105))</f>
        <v/>
      </c>
    </row>
    <row r="106" customFormat="false" ht="15" hidden="false" customHeight="false" outlineLevel="0" collapsed="false">
      <c r="A106" s="22" t="str">
        <f aca="false">IF(95&lt;=$E$5,95,"")</f>
        <v/>
      </c>
      <c r="B106" s="42" t="str">
        <f aca="false">IF(A106="","",IF($C$8="","",EDATE($C$8,(A106-1)*12/$C$7)))</f>
        <v/>
      </c>
      <c r="C106" s="43" t="str">
        <f aca="false">IF(A106="","",$E$4)</f>
        <v/>
      </c>
      <c r="D106" s="43" t="str">
        <f aca="false">IF(A106="","",C106-E106)</f>
        <v/>
      </c>
      <c r="E106" s="43" t="str">
        <f aca="false">IF(A106="","",F105*$C$5/$C$7)</f>
        <v/>
      </c>
      <c r="F106" s="43" t="str">
        <f aca="false">IF(A106="","",MAX(0,F105-D106))</f>
        <v/>
      </c>
    </row>
    <row r="107" customFormat="false" ht="15" hidden="false" customHeight="false" outlineLevel="0" collapsed="false">
      <c r="A107" s="22" t="str">
        <f aca="false">IF(96&lt;=$E$5,96,"")</f>
        <v/>
      </c>
      <c r="B107" s="42" t="str">
        <f aca="false">IF(A107="","",IF($C$8="","",EDATE($C$8,(A107-1)*12/$C$7)))</f>
        <v/>
      </c>
      <c r="C107" s="43" t="str">
        <f aca="false">IF(A107="","",$E$4)</f>
        <v/>
      </c>
      <c r="D107" s="43" t="str">
        <f aca="false">IF(A107="","",C107-E107)</f>
        <v/>
      </c>
      <c r="E107" s="43" t="str">
        <f aca="false">IF(A107="","",F106*$C$5/$C$7)</f>
        <v/>
      </c>
      <c r="F107" s="43" t="str">
        <f aca="false">IF(A107="","",MAX(0,F106-D107))</f>
        <v/>
      </c>
    </row>
    <row r="108" customFormat="false" ht="15" hidden="false" customHeight="false" outlineLevel="0" collapsed="false">
      <c r="A108" s="22" t="str">
        <f aca="false">IF(97&lt;=$E$5,97,"")</f>
        <v/>
      </c>
      <c r="B108" s="42" t="str">
        <f aca="false">IF(A108="","",IF($C$8="","",EDATE($C$8,(A108-1)*12/$C$7)))</f>
        <v/>
      </c>
      <c r="C108" s="43" t="str">
        <f aca="false">IF(A108="","",$E$4)</f>
        <v/>
      </c>
      <c r="D108" s="43" t="str">
        <f aca="false">IF(A108="","",C108-E108)</f>
        <v/>
      </c>
      <c r="E108" s="43" t="str">
        <f aca="false">IF(A108="","",F107*$C$5/$C$7)</f>
        <v/>
      </c>
      <c r="F108" s="43" t="str">
        <f aca="false">IF(A108="","",MAX(0,F107-D108))</f>
        <v/>
      </c>
    </row>
    <row r="109" customFormat="false" ht="15" hidden="false" customHeight="false" outlineLevel="0" collapsed="false">
      <c r="A109" s="22" t="str">
        <f aca="false">IF(98&lt;=$E$5,98,"")</f>
        <v/>
      </c>
      <c r="B109" s="42" t="str">
        <f aca="false">IF(A109="","",IF($C$8="","",EDATE($C$8,(A109-1)*12/$C$7)))</f>
        <v/>
      </c>
      <c r="C109" s="43" t="str">
        <f aca="false">IF(A109="","",$E$4)</f>
        <v/>
      </c>
      <c r="D109" s="43" t="str">
        <f aca="false">IF(A109="","",C109-E109)</f>
        <v/>
      </c>
      <c r="E109" s="43" t="str">
        <f aca="false">IF(A109="","",F108*$C$5/$C$7)</f>
        <v/>
      </c>
      <c r="F109" s="43" t="str">
        <f aca="false">IF(A109="","",MAX(0,F108-D109))</f>
        <v/>
      </c>
    </row>
    <row r="110" customFormat="false" ht="15" hidden="false" customHeight="false" outlineLevel="0" collapsed="false">
      <c r="A110" s="22" t="str">
        <f aca="false">IF(99&lt;=$E$5,99,"")</f>
        <v/>
      </c>
      <c r="B110" s="42" t="str">
        <f aca="false">IF(A110="","",IF($C$8="","",EDATE($C$8,(A110-1)*12/$C$7)))</f>
        <v/>
      </c>
      <c r="C110" s="43" t="str">
        <f aca="false">IF(A110="","",$E$4)</f>
        <v/>
      </c>
      <c r="D110" s="43" t="str">
        <f aca="false">IF(A110="","",C110-E110)</f>
        <v/>
      </c>
      <c r="E110" s="43" t="str">
        <f aca="false">IF(A110="","",F109*$C$5/$C$7)</f>
        <v/>
      </c>
      <c r="F110" s="43" t="str">
        <f aca="false">IF(A110="","",MAX(0,F109-D110))</f>
        <v/>
      </c>
    </row>
    <row r="111" customFormat="false" ht="15" hidden="false" customHeight="false" outlineLevel="0" collapsed="false">
      <c r="A111" s="22" t="str">
        <f aca="false">IF(100&lt;=$E$5,100,"")</f>
        <v/>
      </c>
      <c r="B111" s="42" t="str">
        <f aca="false">IF(A111="","",IF($C$8="","",EDATE($C$8,(A111-1)*12/$C$7)))</f>
        <v/>
      </c>
      <c r="C111" s="43" t="str">
        <f aca="false">IF(A111="","",$E$4)</f>
        <v/>
      </c>
      <c r="D111" s="43" t="str">
        <f aca="false">IF(A111="","",C111-E111)</f>
        <v/>
      </c>
      <c r="E111" s="43" t="str">
        <f aca="false">IF(A111="","",F110*$C$5/$C$7)</f>
        <v/>
      </c>
      <c r="F111" s="43" t="str">
        <f aca="false">IF(A111="","",MAX(0,F110-D111))</f>
        <v/>
      </c>
    </row>
    <row r="112" customFormat="false" ht="15" hidden="false" customHeight="false" outlineLevel="0" collapsed="false">
      <c r="A112" s="22" t="str">
        <f aca="false">IF(101&lt;=$E$5,101,"")</f>
        <v/>
      </c>
      <c r="B112" s="42" t="str">
        <f aca="false">IF(A112="","",IF($C$8="","",EDATE($C$8,(A112-1)*12/$C$7)))</f>
        <v/>
      </c>
      <c r="C112" s="43" t="str">
        <f aca="false">IF(A112="","",$E$4)</f>
        <v/>
      </c>
      <c r="D112" s="43" t="str">
        <f aca="false">IF(A112="","",C112-E112)</f>
        <v/>
      </c>
      <c r="E112" s="43" t="str">
        <f aca="false">IF(A112="","",F111*$C$5/$C$7)</f>
        <v/>
      </c>
      <c r="F112" s="43" t="str">
        <f aca="false">IF(A112="","",MAX(0,F111-D112))</f>
        <v/>
      </c>
    </row>
    <row r="113" customFormat="false" ht="15" hidden="false" customHeight="false" outlineLevel="0" collapsed="false">
      <c r="A113" s="22" t="str">
        <f aca="false">IF(102&lt;=$E$5,102,"")</f>
        <v/>
      </c>
      <c r="B113" s="42" t="str">
        <f aca="false">IF(A113="","",IF($C$8="","",EDATE($C$8,(A113-1)*12/$C$7)))</f>
        <v/>
      </c>
      <c r="C113" s="43" t="str">
        <f aca="false">IF(A113="","",$E$4)</f>
        <v/>
      </c>
      <c r="D113" s="43" t="str">
        <f aca="false">IF(A113="","",C113-E113)</f>
        <v/>
      </c>
      <c r="E113" s="43" t="str">
        <f aca="false">IF(A113="","",F112*$C$5/$C$7)</f>
        <v/>
      </c>
      <c r="F113" s="43" t="str">
        <f aca="false">IF(A113="","",MAX(0,F112-D113))</f>
        <v/>
      </c>
    </row>
    <row r="114" customFormat="false" ht="15" hidden="false" customHeight="false" outlineLevel="0" collapsed="false">
      <c r="A114" s="22" t="str">
        <f aca="false">IF(103&lt;=$E$5,103,"")</f>
        <v/>
      </c>
      <c r="B114" s="42" t="str">
        <f aca="false">IF(A114="","",IF($C$8="","",EDATE($C$8,(A114-1)*12/$C$7)))</f>
        <v/>
      </c>
      <c r="C114" s="43" t="str">
        <f aca="false">IF(A114="","",$E$4)</f>
        <v/>
      </c>
      <c r="D114" s="43" t="str">
        <f aca="false">IF(A114="","",C114-E114)</f>
        <v/>
      </c>
      <c r="E114" s="43" t="str">
        <f aca="false">IF(A114="","",F113*$C$5/$C$7)</f>
        <v/>
      </c>
      <c r="F114" s="43" t="str">
        <f aca="false">IF(A114="","",MAX(0,F113-D114))</f>
        <v/>
      </c>
    </row>
    <row r="115" customFormat="false" ht="15" hidden="false" customHeight="false" outlineLevel="0" collapsed="false">
      <c r="A115" s="22" t="str">
        <f aca="false">IF(104&lt;=$E$5,104,"")</f>
        <v/>
      </c>
      <c r="B115" s="42" t="str">
        <f aca="false">IF(A115="","",IF($C$8="","",EDATE($C$8,(A115-1)*12/$C$7)))</f>
        <v/>
      </c>
      <c r="C115" s="43" t="str">
        <f aca="false">IF(A115="","",$E$4)</f>
        <v/>
      </c>
      <c r="D115" s="43" t="str">
        <f aca="false">IF(A115="","",C115-E115)</f>
        <v/>
      </c>
      <c r="E115" s="43" t="str">
        <f aca="false">IF(A115="","",F114*$C$5/$C$7)</f>
        <v/>
      </c>
      <c r="F115" s="43" t="str">
        <f aca="false">IF(A115="","",MAX(0,F114-D115))</f>
        <v/>
      </c>
    </row>
    <row r="116" customFormat="false" ht="15" hidden="false" customHeight="false" outlineLevel="0" collapsed="false">
      <c r="A116" s="22" t="str">
        <f aca="false">IF(105&lt;=$E$5,105,"")</f>
        <v/>
      </c>
      <c r="B116" s="42" t="str">
        <f aca="false">IF(A116="","",IF($C$8="","",EDATE($C$8,(A116-1)*12/$C$7)))</f>
        <v/>
      </c>
      <c r="C116" s="43" t="str">
        <f aca="false">IF(A116="","",$E$4)</f>
        <v/>
      </c>
      <c r="D116" s="43" t="str">
        <f aca="false">IF(A116="","",C116-E116)</f>
        <v/>
      </c>
      <c r="E116" s="43" t="str">
        <f aca="false">IF(A116="","",F115*$C$5/$C$7)</f>
        <v/>
      </c>
      <c r="F116" s="43" t="str">
        <f aca="false">IF(A116="","",MAX(0,F115-D116))</f>
        <v/>
      </c>
    </row>
    <row r="117" customFormat="false" ht="15" hidden="false" customHeight="false" outlineLevel="0" collapsed="false">
      <c r="A117" s="22" t="str">
        <f aca="false">IF(106&lt;=$E$5,106,"")</f>
        <v/>
      </c>
      <c r="B117" s="42" t="str">
        <f aca="false">IF(A117="","",IF($C$8="","",EDATE($C$8,(A117-1)*12/$C$7)))</f>
        <v/>
      </c>
      <c r="C117" s="43" t="str">
        <f aca="false">IF(A117="","",$E$4)</f>
        <v/>
      </c>
      <c r="D117" s="43" t="str">
        <f aca="false">IF(A117="","",C117-E117)</f>
        <v/>
      </c>
      <c r="E117" s="43" t="str">
        <f aca="false">IF(A117="","",F116*$C$5/$C$7)</f>
        <v/>
      </c>
      <c r="F117" s="43" t="str">
        <f aca="false">IF(A117="","",MAX(0,F116-D117))</f>
        <v/>
      </c>
    </row>
    <row r="118" customFormat="false" ht="15" hidden="false" customHeight="false" outlineLevel="0" collapsed="false">
      <c r="A118" s="22" t="str">
        <f aca="false">IF(107&lt;=$E$5,107,"")</f>
        <v/>
      </c>
      <c r="B118" s="42" t="str">
        <f aca="false">IF(A118="","",IF($C$8="","",EDATE($C$8,(A118-1)*12/$C$7)))</f>
        <v/>
      </c>
      <c r="C118" s="43" t="str">
        <f aca="false">IF(A118="","",$E$4)</f>
        <v/>
      </c>
      <c r="D118" s="43" t="str">
        <f aca="false">IF(A118="","",C118-E118)</f>
        <v/>
      </c>
      <c r="E118" s="43" t="str">
        <f aca="false">IF(A118="","",F117*$C$5/$C$7)</f>
        <v/>
      </c>
      <c r="F118" s="43" t="str">
        <f aca="false">IF(A118="","",MAX(0,F117-D118))</f>
        <v/>
      </c>
    </row>
    <row r="119" customFormat="false" ht="15" hidden="false" customHeight="false" outlineLevel="0" collapsed="false">
      <c r="A119" s="22" t="str">
        <f aca="false">IF(108&lt;=$E$5,108,"")</f>
        <v/>
      </c>
      <c r="B119" s="42" t="str">
        <f aca="false">IF(A119="","",IF($C$8="","",EDATE($C$8,(A119-1)*12/$C$7)))</f>
        <v/>
      </c>
      <c r="C119" s="43" t="str">
        <f aca="false">IF(A119="","",$E$4)</f>
        <v/>
      </c>
      <c r="D119" s="43" t="str">
        <f aca="false">IF(A119="","",C119-E119)</f>
        <v/>
      </c>
      <c r="E119" s="43" t="str">
        <f aca="false">IF(A119="","",F118*$C$5/$C$7)</f>
        <v/>
      </c>
      <c r="F119" s="43" t="str">
        <f aca="false">IF(A119="","",MAX(0,F118-D119))</f>
        <v/>
      </c>
    </row>
    <row r="120" customFormat="false" ht="15" hidden="false" customHeight="false" outlineLevel="0" collapsed="false">
      <c r="A120" s="22" t="str">
        <f aca="false">IF(109&lt;=$E$5,109,"")</f>
        <v/>
      </c>
      <c r="B120" s="42" t="str">
        <f aca="false">IF(A120="","",IF($C$8="","",EDATE($C$8,(A120-1)*12/$C$7)))</f>
        <v/>
      </c>
      <c r="C120" s="43" t="str">
        <f aca="false">IF(A120="","",$E$4)</f>
        <v/>
      </c>
      <c r="D120" s="43" t="str">
        <f aca="false">IF(A120="","",C120-E120)</f>
        <v/>
      </c>
      <c r="E120" s="43" t="str">
        <f aca="false">IF(A120="","",F119*$C$5/$C$7)</f>
        <v/>
      </c>
      <c r="F120" s="43" t="str">
        <f aca="false">IF(A120="","",MAX(0,F119-D120))</f>
        <v/>
      </c>
    </row>
    <row r="121" customFormat="false" ht="15" hidden="false" customHeight="false" outlineLevel="0" collapsed="false">
      <c r="A121" s="22" t="str">
        <f aca="false">IF(110&lt;=$E$5,110,"")</f>
        <v/>
      </c>
      <c r="B121" s="42" t="str">
        <f aca="false">IF(A121="","",IF($C$8="","",EDATE($C$8,(A121-1)*12/$C$7)))</f>
        <v/>
      </c>
      <c r="C121" s="43" t="str">
        <f aca="false">IF(A121="","",$E$4)</f>
        <v/>
      </c>
      <c r="D121" s="43" t="str">
        <f aca="false">IF(A121="","",C121-E121)</f>
        <v/>
      </c>
      <c r="E121" s="43" t="str">
        <f aca="false">IF(A121="","",F120*$C$5/$C$7)</f>
        <v/>
      </c>
      <c r="F121" s="43" t="str">
        <f aca="false">IF(A121="","",MAX(0,F120-D121))</f>
        <v/>
      </c>
    </row>
    <row r="122" customFormat="false" ht="15" hidden="false" customHeight="false" outlineLevel="0" collapsed="false">
      <c r="A122" s="22" t="str">
        <f aca="false">IF(111&lt;=$E$5,111,"")</f>
        <v/>
      </c>
      <c r="B122" s="42" t="str">
        <f aca="false">IF(A122="","",IF($C$8="","",EDATE($C$8,(A122-1)*12/$C$7)))</f>
        <v/>
      </c>
      <c r="C122" s="43" t="str">
        <f aca="false">IF(A122="","",$E$4)</f>
        <v/>
      </c>
      <c r="D122" s="43" t="str">
        <f aca="false">IF(A122="","",C122-E122)</f>
        <v/>
      </c>
      <c r="E122" s="43" t="str">
        <f aca="false">IF(A122="","",F121*$C$5/$C$7)</f>
        <v/>
      </c>
      <c r="F122" s="43" t="str">
        <f aca="false">IF(A122="","",MAX(0,F121-D122))</f>
        <v/>
      </c>
    </row>
    <row r="123" customFormat="false" ht="15" hidden="false" customHeight="false" outlineLevel="0" collapsed="false">
      <c r="A123" s="22" t="str">
        <f aca="false">IF(112&lt;=$E$5,112,"")</f>
        <v/>
      </c>
      <c r="B123" s="42" t="str">
        <f aca="false">IF(A123="","",IF($C$8="","",EDATE($C$8,(A123-1)*12/$C$7)))</f>
        <v/>
      </c>
      <c r="C123" s="43" t="str">
        <f aca="false">IF(A123="","",$E$4)</f>
        <v/>
      </c>
      <c r="D123" s="43" t="str">
        <f aca="false">IF(A123="","",C123-E123)</f>
        <v/>
      </c>
      <c r="E123" s="43" t="str">
        <f aca="false">IF(A123="","",F122*$C$5/$C$7)</f>
        <v/>
      </c>
      <c r="F123" s="43" t="str">
        <f aca="false">IF(A123="","",MAX(0,F122-D123))</f>
        <v/>
      </c>
    </row>
    <row r="124" customFormat="false" ht="15" hidden="false" customHeight="false" outlineLevel="0" collapsed="false">
      <c r="A124" s="22" t="str">
        <f aca="false">IF(113&lt;=$E$5,113,"")</f>
        <v/>
      </c>
      <c r="B124" s="42" t="str">
        <f aca="false">IF(A124="","",IF($C$8="","",EDATE($C$8,(A124-1)*12/$C$7)))</f>
        <v/>
      </c>
      <c r="C124" s="43" t="str">
        <f aca="false">IF(A124="","",$E$4)</f>
        <v/>
      </c>
      <c r="D124" s="43" t="str">
        <f aca="false">IF(A124="","",C124-E124)</f>
        <v/>
      </c>
      <c r="E124" s="43" t="str">
        <f aca="false">IF(A124="","",F123*$C$5/$C$7)</f>
        <v/>
      </c>
      <c r="F124" s="43" t="str">
        <f aca="false">IF(A124="","",MAX(0,F123-D124))</f>
        <v/>
      </c>
    </row>
    <row r="125" customFormat="false" ht="15" hidden="false" customHeight="false" outlineLevel="0" collapsed="false">
      <c r="A125" s="22" t="str">
        <f aca="false">IF(114&lt;=$E$5,114,"")</f>
        <v/>
      </c>
      <c r="B125" s="42" t="str">
        <f aca="false">IF(A125="","",IF($C$8="","",EDATE($C$8,(A125-1)*12/$C$7)))</f>
        <v/>
      </c>
      <c r="C125" s="43" t="str">
        <f aca="false">IF(A125="","",$E$4)</f>
        <v/>
      </c>
      <c r="D125" s="43" t="str">
        <f aca="false">IF(A125="","",C125-E125)</f>
        <v/>
      </c>
      <c r="E125" s="43" t="str">
        <f aca="false">IF(A125="","",F124*$C$5/$C$7)</f>
        <v/>
      </c>
      <c r="F125" s="43" t="str">
        <f aca="false">IF(A125="","",MAX(0,F124-D125))</f>
        <v/>
      </c>
    </row>
    <row r="126" customFormat="false" ht="15" hidden="false" customHeight="false" outlineLevel="0" collapsed="false">
      <c r="A126" s="22" t="str">
        <f aca="false">IF(115&lt;=$E$5,115,"")</f>
        <v/>
      </c>
      <c r="B126" s="42" t="str">
        <f aca="false">IF(A126="","",IF($C$8="","",EDATE($C$8,(A126-1)*12/$C$7)))</f>
        <v/>
      </c>
      <c r="C126" s="43" t="str">
        <f aca="false">IF(A126="","",$E$4)</f>
        <v/>
      </c>
      <c r="D126" s="43" t="str">
        <f aca="false">IF(A126="","",C126-E126)</f>
        <v/>
      </c>
      <c r="E126" s="43" t="str">
        <f aca="false">IF(A126="","",F125*$C$5/$C$7)</f>
        <v/>
      </c>
      <c r="F126" s="43" t="str">
        <f aca="false">IF(A126="","",MAX(0,F125-D126))</f>
        <v/>
      </c>
    </row>
    <row r="127" customFormat="false" ht="15" hidden="false" customHeight="false" outlineLevel="0" collapsed="false">
      <c r="A127" s="22" t="str">
        <f aca="false">IF(116&lt;=$E$5,116,"")</f>
        <v/>
      </c>
      <c r="B127" s="42" t="str">
        <f aca="false">IF(A127="","",IF($C$8="","",EDATE($C$8,(A127-1)*12/$C$7)))</f>
        <v/>
      </c>
      <c r="C127" s="43" t="str">
        <f aca="false">IF(A127="","",$E$4)</f>
        <v/>
      </c>
      <c r="D127" s="43" t="str">
        <f aca="false">IF(A127="","",C127-E127)</f>
        <v/>
      </c>
      <c r="E127" s="43" t="str">
        <f aca="false">IF(A127="","",F126*$C$5/$C$7)</f>
        <v/>
      </c>
      <c r="F127" s="43" t="str">
        <f aca="false">IF(A127="","",MAX(0,F126-D127))</f>
        <v/>
      </c>
    </row>
    <row r="128" customFormat="false" ht="15" hidden="false" customHeight="false" outlineLevel="0" collapsed="false">
      <c r="A128" s="22" t="str">
        <f aca="false">IF(117&lt;=$E$5,117,"")</f>
        <v/>
      </c>
      <c r="B128" s="42" t="str">
        <f aca="false">IF(A128="","",IF($C$8="","",EDATE($C$8,(A128-1)*12/$C$7)))</f>
        <v/>
      </c>
      <c r="C128" s="43" t="str">
        <f aca="false">IF(A128="","",$E$4)</f>
        <v/>
      </c>
      <c r="D128" s="43" t="str">
        <f aca="false">IF(A128="","",C128-E128)</f>
        <v/>
      </c>
      <c r="E128" s="43" t="str">
        <f aca="false">IF(A128="","",F127*$C$5/$C$7)</f>
        <v/>
      </c>
      <c r="F128" s="43" t="str">
        <f aca="false">IF(A128="","",MAX(0,F127-D128))</f>
        <v/>
      </c>
    </row>
    <row r="129" customFormat="false" ht="15" hidden="false" customHeight="false" outlineLevel="0" collapsed="false">
      <c r="A129" s="22" t="str">
        <f aca="false">IF(118&lt;=$E$5,118,"")</f>
        <v/>
      </c>
      <c r="B129" s="42" t="str">
        <f aca="false">IF(A129="","",IF($C$8="","",EDATE($C$8,(A129-1)*12/$C$7)))</f>
        <v/>
      </c>
      <c r="C129" s="43" t="str">
        <f aca="false">IF(A129="","",$E$4)</f>
        <v/>
      </c>
      <c r="D129" s="43" t="str">
        <f aca="false">IF(A129="","",C129-E129)</f>
        <v/>
      </c>
      <c r="E129" s="43" t="str">
        <f aca="false">IF(A129="","",F128*$C$5/$C$7)</f>
        <v/>
      </c>
      <c r="F129" s="43" t="str">
        <f aca="false">IF(A129="","",MAX(0,F128-D129))</f>
        <v/>
      </c>
    </row>
    <row r="130" customFormat="false" ht="15" hidden="false" customHeight="false" outlineLevel="0" collapsed="false">
      <c r="A130" s="22" t="str">
        <f aca="false">IF(119&lt;=$E$5,119,"")</f>
        <v/>
      </c>
      <c r="B130" s="42" t="str">
        <f aca="false">IF(A130="","",IF($C$8="","",EDATE($C$8,(A130-1)*12/$C$7)))</f>
        <v/>
      </c>
      <c r="C130" s="43" t="str">
        <f aca="false">IF(A130="","",$E$4)</f>
        <v/>
      </c>
      <c r="D130" s="43" t="str">
        <f aca="false">IF(A130="","",C130-E130)</f>
        <v/>
      </c>
      <c r="E130" s="43" t="str">
        <f aca="false">IF(A130="","",F129*$C$5/$C$7)</f>
        <v/>
      </c>
      <c r="F130" s="43" t="str">
        <f aca="false">IF(A130="","",MAX(0,F129-D130))</f>
        <v/>
      </c>
    </row>
    <row r="131" customFormat="false" ht="15" hidden="false" customHeight="false" outlineLevel="0" collapsed="false">
      <c r="A131" s="22" t="str">
        <f aca="false">IF(120&lt;=$E$5,120,"")</f>
        <v/>
      </c>
      <c r="B131" s="42" t="str">
        <f aca="false">IF(A131="","",IF($C$8="","",EDATE($C$8,(A131-1)*12/$C$7)))</f>
        <v/>
      </c>
      <c r="C131" s="43" t="str">
        <f aca="false">IF(A131="","",$E$4)</f>
        <v/>
      </c>
      <c r="D131" s="43" t="str">
        <f aca="false">IF(A131="","",C131-E131)</f>
        <v/>
      </c>
      <c r="E131" s="43" t="str">
        <f aca="false">IF(A131="","",F130*$C$5/$C$7)</f>
        <v/>
      </c>
      <c r="F131" s="43" t="str">
        <f aca="false">IF(A131="","",MAX(0,F130-D131))</f>
        <v/>
      </c>
    </row>
    <row r="132" customFormat="false" ht="15" hidden="false" customHeight="false" outlineLevel="0" collapsed="false">
      <c r="A132" s="22" t="str">
        <f aca="false">IF(121&lt;=$E$5,121,"")</f>
        <v/>
      </c>
      <c r="B132" s="42" t="str">
        <f aca="false">IF(A132="","",IF($C$8="","",EDATE($C$8,(A132-1)*12/$C$7)))</f>
        <v/>
      </c>
      <c r="C132" s="43" t="str">
        <f aca="false">IF(A132="","",$E$4)</f>
        <v/>
      </c>
      <c r="D132" s="43" t="str">
        <f aca="false">IF(A132="","",C132-E132)</f>
        <v/>
      </c>
      <c r="E132" s="43" t="str">
        <f aca="false">IF(A132="","",F131*$C$5/$C$7)</f>
        <v/>
      </c>
      <c r="F132" s="43" t="str">
        <f aca="false">IF(A132="","",MAX(0,F131-D132))</f>
        <v/>
      </c>
    </row>
    <row r="133" customFormat="false" ht="15" hidden="false" customHeight="false" outlineLevel="0" collapsed="false">
      <c r="A133" s="22" t="str">
        <f aca="false">IF(122&lt;=$E$5,122,"")</f>
        <v/>
      </c>
      <c r="B133" s="42" t="str">
        <f aca="false">IF(A133="","",IF($C$8="","",EDATE($C$8,(A133-1)*12/$C$7)))</f>
        <v/>
      </c>
      <c r="C133" s="43" t="str">
        <f aca="false">IF(A133="","",$E$4)</f>
        <v/>
      </c>
      <c r="D133" s="43" t="str">
        <f aca="false">IF(A133="","",C133-E133)</f>
        <v/>
      </c>
      <c r="E133" s="43" t="str">
        <f aca="false">IF(A133="","",F132*$C$5/$C$7)</f>
        <v/>
      </c>
      <c r="F133" s="43" t="str">
        <f aca="false">IF(A133="","",MAX(0,F132-D133))</f>
        <v/>
      </c>
    </row>
    <row r="134" customFormat="false" ht="15" hidden="false" customHeight="false" outlineLevel="0" collapsed="false">
      <c r="A134" s="22" t="str">
        <f aca="false">IF(123&lt;=$E$5,123,"")</f>
        <v/>
      </c>
      <c r="B134" s="42" t="str">
        <f aca="false">IF(A134="","",IF($C$8="","",EDATE($C$8,(A134-1)*12/$C$7)))</f>
        <v/>
      </c>
      <c r="C134" s="43" t="str">
        <f aca="false">IF(A134="","",$E$4)</f>
        <v/>
      </c>
      <c r="D134" s="43" t="str">
        <f aca="false">IF(A134="","",C134-E134)</f>
        <v/>
      </c>
      <c r="E134" s="43" t="str">
        <f aca="false">IF(A134="","",F133*$C$5/$C$7)</f>
        <v/>
      </c>
      <c r="F134" s="43" t="str">
        <f aca="false">IF(A134="","",MAX(0,F133-D134))</f>
        <v/>
      </c>
    </row>
    <row r="135" customFormat="false" ht="15" hidden="false" customHeight="false" outlineLevel="0" collapsed="false">
      <c r="A135" s="22" t="str">
        <f aca="false">IF(124&lt;=$E$5,124,"")</f>
        <v/>
      </c>
      <c r="B135" s="42" t="str">
        <f aca="false">IF(A135="","",IF($C$8="","",EDATE($C$8,(A135-1)*12/$C$7)))</f>
        <v/>
      </c>
      <c r="C135" s="43" t="str">
        <f aca="false">IF(A135="","",$E$4)</f>
        <v/>
      </c>
      <c r="D135" s="43" t="str">
        <f aca="false">IF(A135="","",C135-E135)</f>
        <v/>
      </c>
      <c r="E135" s="43" t="str">
        <f aca="false">IF(A135="","",F134*$C$5/$C$7)</f>
        <v/>
      </c>
      <c r="F135" s="43" t="str">
        <f aca="false">IF(A135="","",MAX(0,F134-D135))</f>
        <v/>
      </c>
    </row>
    <row r="136" customFormat="false" ht="15" hidden="false" customHeight="false" outlineLevel="0" collapsed="false">
      <c r="A136" s="22" t="str">
        <f aca="false">IF(125&lt;=$E$5,125,"")</f>
        <v/>
      </c>
      <c r="B136" s="42" t="str">
        <f aca="false">IF(A136="","",IF($C$8="","",EDATE($C$8,(A136-1)*12/$C$7)))</f>
        <v/>
      </c>
      <c r="C136" s="43" t="str">
        <f aca="false">IF(A136="","",$E$4)</f>
        <v/>
      </c>
      <c r="D136" s="43" t="str">
        <f aca="false">IF(A136="","",C136-E136)</f>
        <v/>
      </c>
      <c r="E136" s="43" t="str">
        <f aca="false">IF(A136="","",F135*$C$5/$C$7)</f>
        <v/>
      </c>
      <c r="F136" s="43" t="str">
        <f aca="false">IF(A136="","",MAX(0,F135-D136))</f>
        <v/>
      </c>
    </row>
    <row r="137" customFormat="false" ht="15" hidden="false" customHeight="false" outlineLevel="0" collapsed="false">
      <c r="A137" s="22" t="str">
        <f aca="false">IF(126&lt;=$E$5,126,"")</f>
        <v/>
      </c>
      <c r="B137" s="42" t="str">
        <f aca="false">IF(A137="","",IF($C$8="","",EDATE($C$8,(A137-1)*12/$C$7)))</f>
        <v/>
      </c>
      <c r="C137" s="43" t="str">
        <f aca="false">IF(A137="","",$E$4)</f>
        <v/>
      </c>
      <c r="D137" s="43" t="str">
        <f aca="false">IF(A137="","",C137-E137)</f>
        <v/>
      </c>
      <c r="E137" s="43" t="str">
        <f aca="false">IF(A137="","",F136*$C$5/$C$7)</f>
        <v/>
      </c>
      <c r="F137" s="43" t="str">
        <f aca="false">IF(A137="","",MAX(0,F136-D137))</f>
        <v/>
      </c>
    </row>
    <row r="138" customFormat="false" ht="15" hidden="false" customHeight="false" outlineLevel="0" collapsed="false">
      <c r="A138" s="22" t="str">
        <f aca="false">IF(127&lt;=$E$5,127,"")</f>
        <v/>
      </c>
      <c r="B138" s="42" t="str">
        <f aca="false">IF(A138="","",IF($C$8="","",EDATE($C$8,(A138-1)*12/$C$7)))</f>
        <v/>
      </c>
      <c r="C138" s="43" t="str">
        <f aca="false">IF(A138="","",$E$4)</f>
        <v/>
      </c>
      <c r="D138" s="43" t="str">
        <f aca="false">IF(A138="","",C138-E138)</f>
        <v/>
      </c>
      <c r="E138" s="43" t="str">
        <f aca="false">IF(A138="","",F137*$C$5/$C$7)</f>
        <v/>
      </c>
      <c r="F138" s="43" t="str">
        <f aca="false">IF(A138="","",MAX(0,F137-D138))</f>
        <v/>
      </c>
    </row>
    <row r="139" customFormat="false" ht="15" hidden="false" customHeight="false" outlineLevel="0" collapsed="false">
      <c r="A139" s="22" t="str">
        <f aca="false">IF(128&lt;=$E$5,128,"")</f>
        <v/>
      </c>
      <c r="B139" s="42" t="str">
        <f aca="false">IF(A139="","",IF($C$8="","",EDATE($C$8,(A139-1)*12/$C$7)))</f>
        <v/>
      </c>
      <c r="C139" s="43" t="str">
        <f aca="false">IF(A139="","",$E$4)</f>
        <v/>
      </c>
      <c r="D139" s="43" t="str">
        <f aca="false">IF(A139="","",C139-E139)</f>
        <v/>
      </c>
      <c r="E139" s="43" t="str">
        <f aca="false">IF(A139="","",F138*$C$5/$C$7)</f>
        <v/>
      </c>
      <c r="F139" s="43" t="str">
        <f aca="false">IF(A139="","",MAX(0,F138-D139))</f>
        <v/>
      </c>
    </row>
    <row r="140" customFormat="false" ht="15" hidden="false" customHeight="false" outlineLevel="0" collapsed="false">
      <c r="A140" s="22" t="str">
        <f aca="false">IF(129&lt;=$E$5,129,"")</f>
        <v/>
      </c>
      <c r="B140" s="42" t="str">
        <f aca="false">IF(A140="","",IF($C$8="","",EDATE($C$8,(A140-1)*12/$C$7)))</f>
        <v/>
      </c>
      <c r="C140" s="43" t="str">
        <f aca="false">IF(A140="","",$E$4)</f>
        <v/>
      </c>
      <c r="D140" s="43" t="str">
        <f aca="false">IF(A140="","",C140-E140)</f>
        <v/>
      </c>
      <c r="E140" s="43" t="str">
        <f aca="false">IF(A140="","",F139*$C$5/$C$7)</f>
        <v/>
      </c>
      <c r="F140" s="43" t="str">
        <f aca="false">IF(A140="","",MAX(0,F139-D140))</f>
        <v/>
      </c>
    </row>
    <row r="141" customFormat="false" ht="15" hidden="false" customHeight="false" outlineLevel="0" collapsed="false">
      <c r="A141" s="22" t="str">
        <f aca="false">IF(130&lt;=$E$5,130,"")</f>
        <v/>
      </c>
      <c r="B141" s="42" t="str">
        <f aca="false">IF(A141="","",IF($C$8="","",EDATE($C$8,(A141-1)*12/$C$7)))</f>
        <v/>
      </c>
      <c r="C141" s="43" t="str">
        <f aca="false">IF(A141="","",$E$4)</f>
        <v/>
      </c>
      <c r="D141" s="43" t="str">
        <f aca="false">IF(A141="","",C141-E141)</f>
        <v/>
      </c>
      <c r="E141" s="43" t="str">
        <f aca="false">IF(A141="","",F140*$C$5/$C$7)</f>
        <v/>
      </c>
      <c r="F141" s="43" t="str">
        <f aca="false">IF(A141="","",MAX(0,F140-D141))</f>
        <v/>
      </c>
    </row>
    <row r="142" customFormat="false" ht="15" hidden="false" customHeight="false" outlineLevel="0" collapsed="false">
      <c r="A142" s="22" t="str">
        <f aca="false">IF(131&lt;=$E$5,131,"")</f>
        <v/>
      </c>
      <c r="B142" s="42" t="str">
        <f aca="false">IF(A142="","",IF($C$8="","",EDATE($C$8,(A142-1)*12/$C$7)))</f>
        <v/>
      </c>
      <c r="C142" s="43" t="str">
        <f aca="false">IF(A142="","",$E$4)</f>
        <v/>
      </c>
      <c r="D142" s="43" t="str">
        <f aca="false">IF(A142="","",C142-E142)</f>
        <v/>
      </c>
      <c r="E142" s="43" t="str">
        <f aca="false">IF(A142="","",F141*$C$5/$C$7)</f>
        <v/>
      </c>
      <c r="F142" s="43" t="str">
        <f aca="false">IF(A142="","",MAX(0,F141-D142))</f>
        <v/>
      </c>
    </row>
    <row r="143" customFormat="false" ht="15" hidden="false" customHeight="false" outlineLevel="0" collapsed="false">
      <c r="A143" s="22" t="str">
        <f aca="false">IF(132&lt;=$E$5,132,"")</f>
        <v/>
      </c>
      <c r="B143" s="42" t="str">
        <f aca="false">IF(A143="","",IF($C$8="","",EDATE($C$8,(A143-1)*12/$C$7)))</f>
        <v/>
      </c>
      <c r="C143" s="43" t="str">
        <f aca="false">IF(A143="","",$E$4)</f>
        <v/>
      </c>
      <c r="D143" s="43" t="str">
        <f aca="false">IF(A143="","",C143-E143)</f>
        <v/>
      </c>
      <c r="E143" s="43" t="str">
        <f aca="false">IF(A143="","",F142*$C$5/$C$7)</f>
        <v/>
      </c>
      <c r="F143" s="43" t="str">
        <f aca="false">IF(A143="","",MAX(0,F142-D143))</f>
        <v/>
      </c>
    </row>
    <row r="144" customFormat="false" ht="15" hidden="false" customHeight="false" outlineLevel="0" collapsed="false">
      <c r="A144" s="22" t="str">
        <f aca="false">IF(133&lt;=$E$5,133,"")</f>
        <v/>
      </c>
      <c r="B144" s="42" t="str">
        <f aca="false">IF(A144="","",IF($C$8="","",EDATE($C$8,(A144-1)*12/$C$7)))</f>
        <v/>
      </c>
      <c r="C144" s="43" t="str">
        <f aca="false">IF(A144="","",$E$4)</f>
        <v/>
      </c>
      <c r="D144" s="43" t="str">
        <f aca="false">IF(A144="","",C144-E144)</f>
        <v/>
      </c>
      <c r="E144" s="43" t="str">
        <f aca="false">IF(A144="","",F143*$C$5/$C$7)</f>
        <v/>
      </c>
      <c r="F144" s="43" t="str">
        <f aca="false">IF(A144="","",MAX(0,F143-D144))</f>
        <v/>
      </c>
    </row>
    <row r="145" customFormat="false" ht="15" hidden="false" customHeight="false" outlineLevel="0" collapsed="false">
      <c r="A145" s="22" t="str">
        <f aca="false">IF(134&lt;=$E$5,134,"")</f>
        <v/>
      </c>
      <c r="B145" s="42" t="str">
        <f aca="false">IF(A145="","",IF($C$8="","",EDATE($C$8,(A145-1)*12/$C$7)))</f>
        <v/>
      </c>
      <c r="C145" s="43" t="str">
        <f aca="false">IF(A145="","",$E$4)</f>
        <v/>
      </c>
      <c r="D145" s="43" t="str">
        <f aca="false">IF(A145="","",C145-E145)</f>
        <v/>
      </c>
      <c r="E145" s="43" t="str">
        <f aca="false">IF(A145="","",F144*$C$5/$C$7)</f>
        <v/>
      </c>
      <c r="F145" s="43" t="str">
        <f aca="false">IF(A145="","",MAX(0,F144-D145))</f>
        <v/>
      </c>
    </row>
    <row r="146" customFormat="false" ht="15" hidden="false" customHeight="false" outlineLevel="0" collapsed="false">
      <c r="A146" s="22" t="str">
        <f aca="false">IF(135&lt;=$E$5,135,"")</f>
        <v/>
      </c>
      <c r="B146" s="42" t="str">
        <f aca="false">IF(A146="","",IF($C$8="","",EDATE($C$8,(A146-1)*12/$C$7)))</f>
        <v/>
      </c>
      <c r="C146" s="43" t="str">
        <f aca="false">IF(A146="","",$E$4)</f>
        <v/>
      </c>
      <c r="D146" s="43" t="str">
        <f aca="false">IF(A146="","",C146-E146)</f>
        <v/>
      </c>
      <c r="E146" s="43" t="str">
        <f aca="false">IF(A146="","",F145*$C$5/$C$7)</f>
        <v/>
      </c>
      <c r="F146" s="43" t="str">
        <f aca="false">IF(A146="","",MAX(0,F145-D146))</f>
        <v/>
      </c>
    </row>
    <row r="147" customFormat="false" ht="15" hidden="false" customHeight="false" outlineLevel="0" collapsed="false">
      <c r="A147" s="22" t="str">
        <f aca="false">IF(136&lt;=$E$5,136,"")</f>
        <v/>
      </c>
      <c r="B147" s="42" t="str">
        <f aca="false">IF(A147="","",IF($C$8="","",EDATE($C$8,(A147-1)*12/$C$7)))</f>
        <v/>
      </c>
      <c r="C147" s="43" t="str">
        <f aca="false">IF(A147="","",$E$4)</f>
        <v/>
      </c>
      <c r="D147" s="43" t="str">
        <f aca="false">IF(A147="","",C147-E147)</f>
        <v/>
      </c>
      <c r="E147" s="43" t="str">
        <f aca="false">IF(A147="","",F146*$C$5/$C$7)</f>
        <v/>
      </c>
      <c r="F147" s="43" t="str">
        <f aca="false">IF(A147="","",MAX(0,F146-D147))</f>
        <v/>
      </c>
    </row>
    <row r="148" customFormat="false" ht="15" hidden="false" customHeight="false" outlineLevel="0" collapsed="false">
      <c r="A148" s="22" t="str">
        <f aca="false">IF(137&lt;=$E$5,137,"")</f>
        <v/>
      </c>
      <c r="B148" s="42" t="str">
        <f aca="false">IF(A148="","",IF($C$8="","",EDATE($C$8,(A148-1)*12/$C$7)))</f>
        <v/>
      </c>
      <c r="C148" s="43" t="str">
        <f aca="false">IF(A148="","",$E$4)</f>
        <v/>
      </c>
      <c r="D148" s="43" t="str">
        <f aca="false">IF(A148="","",C148-E148)</f>
        <v/>
      </c>
      <c r="E148" s="43" t="str">
        <f aca="false">IF(A148="","",F147*$C$5/$C$7)</f>
        <v/>
      </c>
      <c r="F148" s="43" t="str">
        <f aca="false">IF(A148="","",MAX(0,F147-D148))</f>
        <v/>
      </c>
    </row>
    <row r="149" customFormat="false" ht="15" hidden="false" customHeight="false" outlineLevel="0" collapsed="false">
      <c r="A149" s="22" t="str">
        <f aca="false">IF(138&lt;=$E$5,138,"")</f>
        <v/>
      </c>
      <c r="B149" s="42" t="str">
        <f aca="false">IF(A149="","",IF($C$8="","",EDATE($C$8,(A149-1)*12/$C$7)))</f>
        <v/>
      </c>
      <c r="C149" s="43" t="str">
        <f aca="false">IF(A149="","",$E$4)</f>
        <v/>
      </c>
      <c r="D149" s="43" t="str">
        <f aca="false">IF(A149="","",C149-E149)</f>
        <v/>
      </c>
      <c r="E149" s="43" t="str">
        <f aca="false">IF(A149="","",F148*$C$5/$C$7)</f>
        <v/>
      </c>
      <c r="F149" s="43" t="str">
        <f aca="false">IF(A149="","",MAX(0,F148-D149))</f>
        <v/>
      </c>
    </row>
    <row r="150" customFormat="false" ht="15" hidden="false" customHeight="false" outlineLevel="0" collapsed="false">
      <c r="A150" s="22" t="str">
        <f aca="false">IF(139&lt;=$E$5,139,"")</f>
        <v/>
      </c>
      <c r="B150" s="42" t="str">
        <f aca="false">IF(A150="","",IF($C$8="","",EDATE($C$8,(A150-1)*12/$C$7)))</f>
        <v/>
      </c>
      <c r="C150" s="43" t="str">
        <f aca="false">IF(A150="","",$E$4)</f>
        <v/>
      </c>
      <c r="D150" s="43" t="str">
        <f aca="false">IF(A150="","",C150-E150)</f>
        <v/>
      </c>
      <c r="E150" s="43" t="str">
        <f aca="false">IF(A150="","",F149*$C$5/$C$7)</f>
        <v/>
      </c>
      <c r="F150" s="43" t="str">
        <f aca="false">IF(A150="","",MAX(0,F149-D150))</f>
        <v/>
      </c>
    </row>
    <row r="151" customFormat="false" ht="15" hidden="false" customHeight="false" outlineLevel="0" collapsed="false">
      <c r="A151" s="22" t="str">
        <f aca="false">IF(140&lt;=$E$5,140,"")</f>
        <v/>
      </c>
      <c r="B151" s="42" t="str">
        <f aca="false">IF(A151="","",IF($C$8="","",EDATE($C$8,(A151-1)*12/$C$7)))</f>
        <v/>
      </c>
      <c r="C151" s="43" t="str">
        <f aca="false">IF(A151="","",$E$4)</f>
        <v/>
      </c>
      <c r="D151" s="43" t="str">
        <f aca="false">IF(A151="","",C151-E151)</f>
        <v/>
      </c>
      <c r="E151" s="43" t="str">
        <f aca="false">IF(A151="","",F150*$C$5/$C$7)</f>
        <v/>
      </c>
      <c r="F151" s="43" t="str">
        <f aca="false">IF(A151="","",MAX(0,F150-D151))</f>
        <v/>
      </c>
    </row>
    <row r="152" customFormat="false" ht="15" hidden="false" customHeight="false" outlineLevel="0" collapsed="false">
      <c r="A152" s="22" t="str">
        <f aca="false">IF(141&lt;=$E$5,141,"")</f>
        <v/>
      </c>
      <c r="B152" s="42" t="str">
        <f aca="false">IF(A152="","",IF($C$8="","",EDATE($C$8,(A152-1)*12/$C$7)))</f>
        <v/>
      </c>
      <c r="C152" s="43" t="str">
        <f aca="false">IF(A152="","",$E$4)</f>
        <v/>
      </c>
      <c r="D152" s="43" t="str">
        <f aca="false">IF(A152="","",C152-E152)</f>
        <v/>
      </c>
      <c r="E152" s="43" t="str">
        <f aca="false">IF(A152="","",F151*$C$5/$C$7)</f>
        <v/>
      </c>
      <c r="F152" s="43" t="str">
        <f aca="false">IF(A152="","",MAX(0,F151-D152))</f>
        <v/>
      </c>
    </row>
    <row r="153" customFormat="false" ht="15" hidden="false" customHeight="false" outlineLevel="0" collapsed="false">
      <c r="A153" s="22" t="str">
        <f aca="false">IF(142&lt;=$E$5,142,"")</f>
        <v/>
      </c>
      <c r="B153" s="42" t="str">
        <f aca="false">IF(A153="","",IF($C$8="","",EDATE($C$8,(A153-1)*12/$C$7)))</f>
        <v/>
      </c>
      <c r="C153" s="43" t="str">
        <f aca="false">IF(A153="","",$E$4)</f>
        <v/>
      </c>
      <c r="D153" s="43" t="str">
        <f aca="false">IF(A153="","",C153-E153)</f>
        <v/>
      </c>
      <c r="E153" s="43" t="str">
        <f aca="false">IF(A153="","",F152*$C$5/$C$7)</f>
        <v/>
      </c>
      <c r="F153" s="43" t="str">
        <f aca="false">IF(A153="","",MAX(0,F152-D153))</f>
        <v/>
      </c>
    </row>
    <row r="154" customFormat="false" ht="15" hidden="false" customHeight="false" outlineLevel="0" collapsed="false">
      <c r="A154" s="22" t="str">
        <f aca="false">IF(143&lt;=$E$5,143,"")</f>
        <v/>
      </c>
      <c r="B154" s="42" t="str">
        <f aca="false">IF(A154="","",IF($C$8="","",EDATE($C$8,(A154-1)*12/$C$7)))</f>
        <v/>
      </c>
      <c r="C154" s="43" t="str">
        <f aca="false">IF(A154="","",$E$4)</f>
        <v/>
      </c>
      <c r="D154" s="43" t="str">
        <f aca="false">IF(A154="","",C154-E154)</f>
        <v/>
      </c>
      <c r="E154" s="43" t="str">
        <f aca="false">IF(A154="","",F153*$C$5/$C$7)</f>
        <v/>
      </c>
      <c r="F154" s="43" t="str">
        <f aca="false">IF(A154="","",MAX(0,F153-D154))</f>
        <v/>
      </c>
    </row>
    <row r="155" customFormat="false" ht="15" hidden="false" customHeight="false" outlineLevel="0" collapsed="false">
      <c r="A155" s="22" t="str">
        <f aca="false">IF(144&lt;=$E$5,144,"")</f>
        <v/>
      </c>
      <c r="B155" s="42" t="str">
        <f aca="false">IF(A155="","",IF($C$8="","",EDATE($C$8,(A155-1)*12/$C$7)))</f>
        <v/>
      </c>
      <c r="C155" s="43" t="str">
        <f aca="false">IF(A155="","",$E$4)</f>
        <v/>
      </c>
      <c r="D155" s="43" t="str">
        <f aca="false">IF(A155="","",C155-E155)</f>
        <v/>
      </c>
      <c r="E155" s="43" t="str">
        <f aca="false">IF(A155="","",F154*$C$5/$C$7)</f>
        <v/>
      </c>
      <c r="F155" s="43" t="str">
        <f aca="false">IF(A155="","",MAX(0,F154-D155))</f>
        <v/>
      </c>
    </row>
    <row r="156" customFormat="false" ht="15" hidden="false" customHeight="false" outlineLevel="0" collapsed="false">
      <c r="A156" s="22" t="str">
        <f aca="false">IF(145&lt;=$E$5,145,"")</f>
        <v/>
      </c>
      <c r="B156" s="42" t="str">
        <f aca="false">IF(A156="","",IF($C$8="","",EDATE($C$8,(A156-1)*12/$C$7)))</f>
        <v/>
      </c>
      <c r="C156" s="43" t="str">
        <f aca="false">IF(A156="","",$E$4)</f>
        <v/>
      </c>
      <c r="D156" s="43" t="str">
        <f aca="false">IF(A156="","",C156-E156)</f>
        <v/>
      </c>
      <c r="E156" s="43" t="str">
        <f aca="false">IF(A156="","",F155*$C$5/$C$7)</f>
        <v/>
      </c>
      <c r="F156" s="43" t="str">
        <f aca="false">IF(A156="","",MAX(0,F155-D156))</f>
        <v/>
      </c>
    </row>
    <row r="157" customFormat="false" ht="15" hidden="false" customHeight="false" outlineLevel="0" collapsed="false">
      <c r="A157" s="22" t="str">
        <f aca="false">IF(146&lt;=$E$5,146,"")</f>
        <v/>
      </c>
      <c r="B157" s="42" t="str">
        <f aca="false">IF(A157="","",IF($C$8="","",EDATE($C$8,(A157-1)*12/$C$7)))</f>
        <v/>
      </c>
      <c r="C157" s="43" t="str">
        <f aca="false">IF(A157="","",$E$4)</f>
        <v/>
      </c>
      <c r="D157" s="43" t="str">
        <f aca="false">IF(A157="","",C157-E157)</f>
        <v/>
      </c>
      <c r="E157" s="43" t="str">
        <f aca="false">IF(A157="","",F156*$C$5/$C$7)</f>
        <v/>
      </c>
      <c r="F157" s="43" t="str">
        <f aca="false">IF(A157="","",MAX(0,F156-D157))</f>
        <v/>
      </c>
    </row>
    <row r="158" customFormat="false" ht="15" hidden="false" customHeight="false" outlineLevel="0" collapsed="false">
      <c r="A158" s="22" t="str">
        <f aca="false">IF(147&lt;=$E$5,147,"")</f>
        <v/>
      </c>
      <c r="B158" s="42" t="str">
        <f aca="false">IF(A158="","",IF($C$8="","",EDATE($C$8,(A158-1)*12/$C$7)))</f>
        <v/>
      </c>
      <c r="C158" s="43" t="str">
        <f aca="false">IF(A158="","",$E$4)</f>
        <v/>
      </c>
      <c r="D158" s="43" t="str">
        <f aca="false">IF(A158="","",C158-E158)</f>
        <v/>
      </c>
      <c r="E158" s="43" t="str">
        <f aca="false">IF(A158="","",F157*$C$5/$C$7)</f>
        <v/>
      </c>
      <c r="F158" s="43" t="str">
        <f aca="false">IF(A158="","",MAX(0,F157-D158))</f>
        <v/>
      </c>
    </row>
    <row r="159" customFormat="false" ht="15" hidden="false" customHeight="false" outlineLevel="0" collapsed="false">
      <c r="A159" s="22" t="str">
        <f aca="false">IF(148&lt;=$E$5,148,"")</f>
        <v/>
      </c>
      <c r="B159" s="42" t="str">
        <f aca="false">IF(A159="","",IF($C$8="","",EDATE($C$8,(A159-1)*12/$C$7)))</f>
        <v/>
      </c>
      <c r="C159" s="43" t="str">
        <f aca="false">IF(A159="","",$E$4)</f>
        <v/>
      </c>
      <c r="D159" s="43" t="str">
        <f aca="false">IF(A159="","",C159-E159)</f>
        <v/>
      </c>
      <c r="E159" s="43" t="str">
        <f aca="false">IF(A159="","",F158*$C$5/$C$7)</f>
        <v/>
      </c>
      <c r="F159" s="43" t="str">
        <f aca="false">IF(A159="","",MAX(0,F158-D159))</f>
        <v/>
      </c>
    </row>
    <row r="160" customFormat="false" ht="15" hidden="false" customHeight="false" outlineLevel="0" collapsed="false">
      <c r="A160" s="22" t="str">
        <f aca="false">IF(149&lt;=$E$5,149,"")</f>
        <v/>
      </c>
      <c r="B160" s="42" t="str">
        <f aca="false">IF(A160="","",IF($C$8="","",EDATE($C$8,(A160-1)*12/$C$7)))</f>
        <v/>
      </c>
      <c r="C160" s="43" t="str">
        <f aca="false">IF(A160="","",$E$4)</f>
        <v/>
      </c>
      <c r="D160" s="43" t="str">
        <f aca="false">IF(A160="","",C160-E160)</f>
        <v/>
      </c>
      <c r="E160" s="43" t="str">
        <f aca="false">IF(A160="","",F159*$C$5/$C$7)</f>
        <v/>
      </c>
      <c r="F160" s="43" t="str">
        <f aca="false">IF(A160="","",MAX(0,F159-D160))</f>
        <v/>
      </c>
    </row>
    <row r="161" customFormat="false" ht="15" hidden="false" customHeight="false" outlineLevel="0" collapsed="false">
      <c r="A161" s="22" t="str">
        <f aca="false">IF(150&lt;=$E$5,150,"")</f>
        <v/>
      </c>
      <c r="B161" s="42" t="str">
        <f aca="false">IF(A161="","",IF($C$8="","",EDATE($C$8,(A161-1)*12/$C$7)))</f>
        <v/>
      </c>
      <c r="C161" s="43" t="str">
        <f aca="false">IF(A161="","",$E$4)</f>
        <v/>
      </c>
      <c r="D161" s="43" t="str">
        <f aca="false">IF(A161="","",C161-E161)</f>
        <v/>
      </c>
      <c r="E161" s="43" t="str">
        <f aca="false">IF(A161="","",F160*$C$5/$C$7)</f>
        <v/>
      </c>
      <c r="F161" s="43" t="str">
        <f aca="false">IF(A161="","",MAX(0,F160-D161))</f>
        <v/>
      </c>
    </row>
    <row r="162" customFormat="false" ht="15" hidden="false" customHeight="false" outlineLevel="0" collapsed="false">
      <c r="A162" s="22" t="str">
        <f aca="false">IF(151&lt;=$E$5,151,"")</f>
        <v/>
      </c>
      <c r="B162" s="42" t="str">
        <f aca="false">IF(A162="","",IF($C$8="","",EDATE($C$8,(A162-1)*12/$C$7)))</f>
        <v/>
      </c>
      <c r="C162" s="43" t="str">
        <f aca="false">IF(A162="","",$E$4)</f>
        <v/>
      </c>
      <c r="D162" s="43" t="str">
        <f aca="false">IF(A162="","",C162-E162)</f>
        <v/>
      </c>
      <c r="E162" s="43" t="str">
        <f aca="false">IF(A162="","",F161*$C$5/$C$7)</f>
        <v/>
      </c>
      <c r="F162" s="43" t="str">
        <f aca="false">IF(A162="","",MAX(0,F161-D162))</f>
        <v/>
      </c>
    </row>
    <row r="163" customFormat="false" ht="15" hidden="false" customHeight="false" outlineLevel="0" collapsed="false">
      <c r="A163" s="22" t="str">
        <f aca="false">IF(152&lt;=$E$5,152,"")</f>
        <v/>
      </c>
      <c r="B163" s="42" t="str">
        <f aca="false">IF(A163="","",IF($C$8="","",EDATE($C$8,(A163-1)*12/$C$7)))</f>
        <v/>
      </c>
      <c r="C163" s="43" t="str">
        <f aca="false">IF(A163="","",$E$4)</f>
        <v/>
      </c>
      <c r="D163" s="43" t="str">
        <f aca="false">IF(A163="","",C163-E163)</f>
        <v/>
      </c>
      <c r="E163" s="43" t="str">
        <f aca="false">IF(A163="","",F162*$C$5/$C$7)</f>
        <v/>
      </c>
      <c r="F163" s="43" t="str">
        <f aca="false">IF(A163="","",MAX(0,F162-D163))</f>
        <v/>
      </c>
    </row>
    <row r="164" customFormat="false" ht="15" hidden="false" customHeight="false" outlineLevel="0" collapsed="false">
      <c r="A164" s="22" t="str">
        <f aca="false">IF(153&lt;=$E$5,153,"")</f>
        <v/>
      </c>
      <c r="B164" s="42" t="str">
        <f aca="false">IF(A164="","",IF($C$8="","",EDATE($C$8,(A164-1)*12/$C$7)))</f>
        <v/>
      </c>
      <c r="C164" s="43" t="str">
        <f aca="false">IF(A164="","",$E$4)</f>
        <v/>
      </c>
      <c r="D164" s="43" t="str">
        <f aca="false">IF(A164="","",C164-E164)</f>
        <v/>
      </c>
      <c r="E164" s="43" t="str">
        <f aca="false">IF(A164="","",F163*$C$5/$C$7)</f>
        <v/>
      </c>
      <c r="F164" s="43" t="str">
        <f aca="false">IF(A164="","",MAX(0,F163-D164))</f>
        <v/>
      </c>
    </row>
    <row r="165" customFormat="false" ht="15" hidden="false" customHeight="false" outlineLevel="0" collapsed="false">
      <c r="A165" s="22" t="str">
        <f aca="false">IF(154&lt;=$E$5,154,"")</f>
        <v/>
      </c>
      <c r="B165" s="42" t="str">
        <f aca="false">IF(A165="","",IF($C$8="","",EDATE($C$8,(A165-1)*12/$C$7)))</f>
        <v/>
      </c>
      <c r="C165" s="43" t="str">
        <f aca="false">IF(A165="","",$E$4)</f>
        <v/>
      </c>
      <c r="D165" s="43" t="str">
        <f aca="false">IF(A165="","",C165-E165)</f>
        <v/>
      </c>
      <c r="E165" s="43" t="str">
        <f aca="false">IF(A165="","",F164*$C$5/$C$7)</f>
        <v/>
      </c>
      <c r="F165" s="43" t="str">
        <f aca="false">IF(A165="","",MAX(0,F164-D165))</f>
        <v/>
      </c>
    </row>
    <row r="166" customFormat="false" ht="15" hidden="false" customHeight="false" outlineLevel="0" collapsed="false">
      <c r="A166" s="22" t="str">
        <f aca="false">IF(155&lt;=$E$5,155,"")</f>
        <v/>
      </c>
      <c r="B166" s="42" t="str">
        <f aca="false">IF(A166="","",IF($C$8="","",EDATE($C$8,(A166-1)*12/$C$7)))</f>
        <v/>
      </c>
      <c r="C166" s="43" t="str">
        <f aca="false">IF(A166="","",$E$4)</f>
        <v/>
      </c>
      <c r="D166" s="43" t="str">
        <f aca="false">IF(A166="","",C166-E166)</f>
        <v/>
      </c>
      <c r="E166" s="43" t="str">
        <f aca="false">IF(A166="","",F165*$C$5/$C$7)</f>
        <v/>
      </c>
      <c r="F166" s="43" t="str">
        <f aca="false">IF(A166="","",MAX(0,F165-D166))</f>
        <v/>
      </c>
    </row>
    <row r="167" customFormat="false" ht="15" hidden="false" customHeight="false" outlineLevel="0" collapsed="false">
      <c r="A167" s="22" t="str">
        <f aca="false">IF(156&lt;=$E$5,156,"")</f>
        <v/>
      </c>
      <c r="B167" s="42" t="str">
        <f aca="false">IF(A167="","",IF($C$8="","",EDATE($C$8,(A167-1)*12/$C$7)))</f>
        <v/>
      </c>
      <c r="C167" s="43" t="str">
        <f aca="false">IF(A167="","",$E$4)</f>
        <v/>
      </c>
      <c r="D167" s="43" t="str">
        <f aca="false">IF(A167="","",C167-E167)</f>
        <v/>
      </c>
      <c r="E167" s="43" t="str">
        <f aca="false">IF(A167="","",F166*$C$5/$C$7)</f>
        <v/>
      </c>
      <c r="F167" s="43" t="str">
        <f aca="false">IF(A167="","",MAX(0,F166-D167))</f>
        <v/>
      </c>
    </row>
    <row r="168" customFormat="false" ht="15" hidden="false" customHeight="false" outlineLevel="0" collapsed="false">
      <c r="A168" s="22" t="str">
        <f aca="false">IF(157&lt;=$E$5,157,"")</f>
        <v/>
      </c>
      <c r="B168" s="42" t="str">
        <f aca="false">IF(A168="","",IF($C$8="","",EDATE($C$8,(A168-1)*12/$C$7)))</f>
        <v/>
      </c>
      <c r="C168" s="43" t="str">
        <f aca="false">IF(A168="","",$E$4)</f>
        <v/>
      </c>
      <c r="D168" s="43" t="str">
        <f aca="false">IF(A168="","",C168-E168)</f>
        <v/>
      </c>
      <c r="E168" s="43" t="str">
        <f aca="false">IF(A168="","",F167*$C$5/$C$7)</f>
        <v/>
      </c>
      <c r="F168" s="43" t="str">
        <f aca="false">IF(A168="","",MAX(0,F167-D168))</f>
        <v/>
      </c>
    </row>
    <row r="169" customFormat="false" ht="15" hidden="false" customHeight="false" outlineLevel="0" collapsed="false">
      <c r="A169" s="22" t="str">
        <f aca="false">IF(158&lt;=$E$5,158,"")</f>
        <v/>
      </c>
      <c r="B169" s="42" t="str">
        <f aca="false">IF(A169="","",IF($C$8="","",EDATE($C$8,(A169-1)*12/$C$7)))</f>
        <v/>
      </c>
      <c r="C169" s="43" t="str">
        <f aca="false">IF(A169="","",$E$4)</f>
        <v/>
      </c>
      <c r="D169" s="43" t="str">
        <f aca="false">IF(A169="","",C169-E169)</f>
        <v/>
      </c>
      <c r="E169" s="43" t="str">
        <f aca="false">IF(A169="","",F168*$C$5/$C$7)</f>
        <v/>
      </c>
      <c r="F169" s="43" t="str">
        <f aca="false">IF(A169="","",MAX(0,F168-D169))</f>
        <v/>
      </c>
    </row>
    <row r="170" customFormat="false" ht="15" hidden="false" customHeight="false" outlineLevel="0" collapsed="false">
      <c r="A170" s="22" t="str">
        <f aca="false">IF(159&lt;=$E$5,159,"")</f>
        <v/>
      </c>
      <c r="B170" s="42" t="str">
        <f aca="false">IF(A170="","",IF($C$8="","",EDATE($C$8,(A170-1)*12/$C$7)))</f>
        <v/>
      </c>
      <c r="C170" s="43" t="str">
        <f aca="false">IF(A170="","",$E$4)</f>
        <v/>
      </c>
      <c r="D170" s="43" t="str">
        <f aca="false">IF(A170="","",C170-E170)</f>
        <v/>
      </c>
      <c r="E170" s="43" t="str">
        <f aca="false">IF(A170="","",F169*$C$5/$C$7)</f>
        <v/>
      </c>
      <c r="F170" s="43" t="str">
        <f aca="false">IF(A170="","",MAX(0,F169-D170))</f>
        <v/>
      </c>
    </row>
    <row r="171" customFormat="false" ht="15" hidden="false" customHeight="false" outlineLevel="0" collapsed="false">
      <c r="A171" s="22" t="str">
        <f aca="false">IF(160&lt;=$E$5,160,"")</f>
        <v/>
      </c>
      <c r="B171" s="42" t="str">
        <f aca="false">IF(A171="","",IF($C$8="","",EDATE($C$8,(A171-1)*12/$C$7)))</f>
        <v/>
      </c>
      <c r="C171" s="43" t="str">
        <f aca="false">IF(A171="","",$E$4)</f>
        <v/>
      </c>
      <c r="D171" s="43" t="str">
        <f aca="false">IF(A171="","",C171-E171)</f>
        <v/>
      </c>
      <c r="E171" s="43" t="str">
        <f aca="false">IF(A171="","",F170*$C$5/$C$7)</f>
        <v/>
      </c>
      <c r="F171" s="43" t="str">
        <f aca="false">IF(A171="","",MAX(0,F170-D171))</f>
        <v/>
      </c>
    </row>
    <row r="172" customFormat="false" ht="15" hidden="false" customHeight="false" outlineLevel="0" collapsed="false">
      <c r="A172" s="22" t="str">
        <f aca="false">IF(161&lt;=$E$5,161,"")</f>
        <v/>
      </c>
      <c r="B172" s="42" t="str">
        <f aca="false">IF(A172="","",IF($C$8="","",EDATE($C$8,(A172-1)*12/$C$7)))</f>
        <v/>
      </c>
      <c r="C172" s="43" t="str">
        <f aca="false">IF(A172="","",$E$4)</f>
        <v/>
      </c>
      <c r="D172" s="43" t="str">
        <f aca="false">IF(A172="","",C172-E172)</f>
        <v/>
      </c>
      <c r="E172" s="43" t="str">
        <f aca="false">IF(A172="","",F171*$C$5/$C$7)</f>
        <v/>
      </c>
      <c r="F172" s="43" t="str">
        <f aca="false">IF(A172="","",MAX(0,F171-D172))</f>
        <v/>
      </c>
    </row>
    <row r="173" customFormat="false" ht="15" hidden="false" customHeight="false" outlineLevel="0" collapsed="false">
      <c r="A173" s="22" t="str">
        <f aca="false">IF(162&lt;=$E$5,162,"")</f>
        <v/>
      </c>
      <c r="B173" s="42" t="str">
        <f aca="false">IF(A173="","",IF($C$8="","",EDATE($C$8,(A173-1)*12/$C$7)))</f>
        <v/>
      </c>
      <c r="C173" s="43" t="str">
        <f aca="false">IF(A173="","",$E$4)</f>
        <v/>
      </c>
      <c r="D173" s="43" t="str">
        <f aca="false">IF(A173="","",C173-E173)</f>
        <v/>
      </c>
      <c r="E173" s="43" t="str">
        <f aca="false">IF(A173="","",F172*$C$5/$C$7)</f>
        <v/>
      </c>
      <c r="F173" s="43" t="str">
        <f aca="false">IF(A173="","",MAX(0,F172-D173))</f>
        <v/>
      </c>
    </row>
    <row r="174" customFormat="false" ht="15" hidden="false" customHeight="false" outlineLevel="0" collapsed="false">
      <c r="A174" s="22" t="str">
        <f aca="false">IF(163&lt;=$E$5,163,"")</f>
        <v/>
      </c>
      <c r="B174" s="42" t="str">
        <f aca="false">IF(A174="","",IF($C$8="","",EDATE($C$8,(A174-1)*12/$C$7)))</f>
        <v/>
      </c>
      <c r="C174" s="43" t="str">
        <f aca="false">IF(A174="","",$E$4)</f>
        <v/>
      </c>
      <c r="D174" s="43" t="str">
        <f aca="false">IF(A174="","",C174-E174)</f>
        <v/>
      </c>
      <c r="E174" s="43" t="str">
        <f aca="false">IF(A174="","",F173*$C$5/$C$7)</f>
        <v/>
      </c>
      <c r="F174" s="43" t="str">
        <f aca="false">IF(A174="","",MAX(0,F173-D174))</f>
        <v/>
      </c>
    </row>
    <row r="175" customFormat="false" ht="15" hidden="false" customHeight="false" outlineLevel="0" collapsed="false">
      <c r="A175" s="22" t="str">
        <f aca="false">IF(164&lt;=$E$5,164,"")</f>
        <v/>
      </c>
      <c r="B175" s="42" t="str">
        <f aca="false">IF(A175="","",IF($C$8="","",EDATE($C$8,(A175-1)*12/$C$7)))</f>
        <v/>
      </c>
      <c r="C175" s="43" t="str">
        <f aca="false">IF(A175="","",$E$4)</f>
        <v/>
      </c>
      <c r="D175" s="43" t="str">
        <f aca="false">IF(A175="","",C175-E175)</f>
        <v/>
      </c>
      <c r="E175" s="43" t="str">
        <f aca="false">IF(A175="","",F174*$C$5/$C$7)</f>
        <v/>
      </c>
      <c r="F175" s="43" t="str">
        <f aca="false">IF(A175="","",MAX(0,F174-D175))</f>
        <v/>
      </c>
    </row>
    <row r="176" customFormat="false" ht="15" hidden="false" customHeight="false" outlineLevel="0" collapsed="false">
      <c r="A176" s="22" t="str">
        <f aca="false">IF(165&lt;=$E$5,165,"")</f>
        <v/>
      </c>
      <c r="B176" s="42" t="str">
        <f aca="false">IF(A176="","",IF($C$8="","",EDATE($C$8,(A176-1)*12/$C$7)))</f>
        <v/>
      </c>
      <c r="C176" s="43" t="str">
        <f aca="false">IF(A176="","",$E$4)</f>
        <v/>
      </c>
      <c r="D176" s="43" t="str">
        <f aca="false">IF(A176="","",C176-E176)</f>
        <v/>
      </c>
      <c r="E176" s="43" t="str">
        <f aca="false">IF(A176="","",F175*$C$5/$C$7)</f>
        <v/>
      </c>
      <c r="F176" s="43" t="str">
        <f aca="false">IF(A176="","",MAX(0,F175-D176))</f>
        <v/>
      </c>
    </row>
    <row r="177" customFormat="false" ht="15" hidden="false" customHeight="false" outlineLevel="0" collapsed="false">
      <c r="A177" s="22" t="str">
        <f aca="false">IF(166&lt;=$E$5,166,"")</f>
        <v/>
      </c>
      <c r="B177" s="42" t="str">
        <f aca="false">IF(A177="","",IF($C$8="","",EDATE($C$8,(A177-1)*12/$C$7)))</f>
        <v/>
      </c>
      <c r="C177" s="43" t="str">
        <f aca="false">IF(A177="","",$E$4)</f>
        <v/>
      </c>
      <c r="D177" s="43" t="str">
        <f aca="false">IF(A177="","",C177-E177)</f>
        <v/>
      </c>
      <c r="E177" s="43" t="str">
        <f aca="false">IF(A177="","",F176*$C$5/$C$7)</f>
        <v/>
      </c>
      <c r="F177" s="43" t="str">
        <f aca="false">IF(A177="","",MAX(0,F176-D177))</f>
        <v/>
      </c>
    </row>
    <row r="178" customFormat="false" ht="15" hidden="false" customHeight="false" outlineLevel="0" collapsed="false">
      <c r="A178" s="22" t="str">
        <f aca="false">IF(167&lt;=$E$5,167,"")</f>
        <v/>
      </c>
      <c r="B178" s="42" t="str">
        <f aca="false">IF(A178="","",IF($C$8="","",EDATE($C$8,(A178-1)*12/$C$7)))</f>
        <v/>
      </c>
      <c r="C178" s="43" t="str">
        <f aca="false">IF(A178="","",$E$4)</f>
        <v/>
      </c>
      <c r="D178" s="43" t="str">
        <f aca="false">IF(A178="","",C178-E178)</f>
        <v/>
      </c>
      <c r="E178" s="43" t="str">
        <f aca="false">IF(A178="","",F177*$C$5/$C$7)</f>
        <v/>
      </c>
      <c r="F178" s="43" t="str">
        <f aca="false">IF(A178="","",MAX(0,F177-D178))</f>
        <v/>
      </c>
    </row>
    <row r="179" customFormat="false" ht="15" hidden="false" customHeight="false" outlineLevel="0" collapsed="false">
      <c r="A179" s="22" t="str">
        <f aca="false">IF(168&lt;=$E$5,168,"")</f>
        <v/>
      </c>
      <c r="B179" s="42" t="str">
        <f aca="false">IF(A179="","",IF($C$8="","",EDATE($C$8,(A179-1)*12/$C$7)))</f>
        <v/>
      </c>
      <c r="C179" s="43" t="str">
        <f aca="false">IF(A179="","",$E$4)</f>
        <v/>
      </c>
      <c r="D179" s="43" t="str">
        <f aca="false">IF(A179="","",C179-E179)</f>
        <v/>
      </c>
      <c r="E179" s="43" t="str">
        <f aca="false">IF(A179="","",F178*$C$5/$C$7)</f>
        <v/>
      </c>
      <c r="F179" s="43" t="str">
        <f aca="false">IF(A179="","",MAX(0,F178-D179))</f>
        <v/>
      </c>
    </row>
    <row r="180" customFormat="false" ht="15" hidden="false" customHeight="false" outlineLevel="0" collapsed="false">
      <c r="A180" s="22" t="str">
        <f aca="false">IF(169&lt;=$E$5,169,"")</f>
        <v/>
      </c>
      <c r="B180" s="42" t="str">
        <f aca="false">IF(A180="","",IF($C$8="","",EDATE($C$8,(A180-1)*12/$C$7)))</f>
        <v/>
      </c>
      <c r="C180" s="43" t="str">
        <f aca="false">IF(A180="","",$E$4)</f>
        <v/>
      </c>
      <c r="D180" s="43" t="str">
        <f aca="false">IF(A180="","",C180-E180)</f>
        <v/>
      </c>
      <c r="E180" s="43" t="str">
        <f aca="false">IF(A180="","",F179*$C$5/$C$7)</f>
        <v/>
      </c>
      <c r="F180" s="43" t="str">
        <f aca="false">IF(A180="","",MAX(0,F179-D180))</f>
        <v/>
      </c>
    </row>
    <row r="181" customFormat="false" ht="15" hidden="false" customHeight="false" outlineLevel="0" collapsed="false">
      <c r="A181" s="22" t="str">
        <f aca="false">IF(170&lt;=$E$5,170,"")</f>
        <v/>
      </c>
      <c r="B181" s="42" t="str">
        <f aca="false">IF(A181="","",IF($C$8="","",EDATE($C$8,(A181-1)*12/$C$7)))</f>
        <v/>
      </c>
      <c r="C181" s="43" t="str">
        <f aca="false">IF(A181="","",$E$4)</f>
        <v/>
      </c>
      <c r="D181" s="43" t="str">
        <f aca="false">IF(A181="","",C181-E181)</f>
        <v/>
      </c>
      <c r="E181" s="43" t="str">
        <f aca="false">IF(A181="","",F180*$C$5/$C$7)</f>
        <v/>
      </c>
      <c r="F181" s="43" t="str">
        <f aca="false">IF(A181="","",MAX(0,F180-D181))</f>
        <v/>
      </c>
    </row>
    <row r="182" customFormat="false" ht="15" hidden="false" customHeight="false" outlineLevel="0" collapsed="false">
      <c r="A182" s="22" t="str">
        <f aca="false">IF(171&lt;=$E$5,171,"")</f>
        <v/>
      </c>
      <c r="B182" s="42" t="str">
        <f aca="false">IF(A182="","",IF($C$8="","",EDATE($C$8,(A182-1)*12/$C$7)))</f>
        <v/>
      </c>
      <c r="C182" s="43" t="str">
        <f aca="false">IF(A182="","",$E$4)</f>
        <v/>
      </c>
      <c r="D182" s="43" t="str">
        <f aca="false">IF(A182="","",C182-E182)</f>
        <v/>
      </c>
      <c r="E182" s="43" t="str">
        <f aca="false">IF(A182="","",F181*$C$5/$C$7)</f>
        <v/>
      </c>
      <c r="F182" s="43" t="str">
        <f aca="false">IF(A182="","",MAX(0,F181-D182))</f>
        <v/>
      </c>
    </row>
    <row r="183" customFormat="false" ht="15" hidden="false" customHeight="false" outlineLevel="0" collapsed="false">
      <c r="A183" s="22" t="str">
        <f aca="false">IF(172&lt;=$E$5,172,"")</f>
        <v/>
      </c>
      <c r="B183" s="42" t="str">
        <f aca="false">IF(A183="","",IF($C$8="","",EDATE($C$8,(A183-1)*12/$C$7)))</f>
        <v/>
      </c>
      <c r="C183" s="43" t="str">
        <f aca="false">IF(A183="","",$E$4)</f>
        <v/>
      </c>
      <c r="D183" s="43" t="str">
        <f aca="false">IF(A183="","",C183-E183)</f>
        <v/>
      </c>
      <c r="E183" s="43" t="str">
        <f aca="false">IF(A183="","",F182*$C$5/$C$7)</f>
        <v/>
      </c>
      <c r="F183" s="43" t="str">
        <f aca="false">IF(A183="","",MAX(0,F182-D183))</f>
        <v/>
      </c>
    </row>
    <row r="184" customFormat="false" ht="15" hidden="false" customHeight="false" outlineLevel="0" collapsed="false">
      <c r="A184" s="22" t="str">
        <f aca="false">IF(173&lt;=$E$5,173,"")</f>
        <v/>
      </c>
      <c r="B184" s="42" t="str">
        <f aca="false">IF(A184="","",IF($C$8="","",EDATE($C$8,(A184-1)*12/$C$7)))</f>
        <v/>
      </c>
      <c r="C184" s="43" t="str">
        <f aca="false">IF(A184="","",$E$4)</f>
        <v/>
      </c>
      <c r="D184" s="43" t="str">
        <f aca="false">IF(A184="","",C184-E184)</f>
        <v/>
      </c>
      <c r="E184" s="43" t="str">
        <f aca="false">IF(A184="","",F183*$C$5/$C$7)</f>
        <v/>
      </c>
      <c r="F184" s="43" t="str">
        <f aca="false">IF(A184="","",MAX(0,F183-D184))</f>
        <v/>
      </c>
    </row>
    <row r="185" customFormat="false" ht="15" hidden="false" customHeight="false" outlineLevel="0" collapsed="false">
      <c r="A185" s="22" t="str">
        <f aca="false">IF(174&lt;=$E$5,174,"")</f>
        <v/>
      </c>
      <c r="B185" s="42" t="str">
        <f aca="false">IF(A185="","",IF($C$8="","",EDATE($C$8,(A185-1)*12/$C$7)))</f>
        <v/>
      </c>
      <c r="C185" s="43" t="str">
        <f aca="false">IF(A185="","",$E$4)</f>
        <v/>
      </c>
      <c r="D185" s="43" t="str">
        <f aca="false">IF(A185="","",C185-E185)</f>
        <v/>
      </c>
      <c r="E185" s="43" t="str">
        <f aca="false">IF(A185="","",F184*$C$5/$C$7)</f>
        <v/>
      </c>
      <c r="F185" s="43" t="str">
        <f aca="false">IF(A185="","",MAX(0,F184-D185))</f>
        <v/>
      </c>
    </row>
    <row r="186" customFormat="false" ht="15" hidden="false" customHeight="false" outlineLevel="0" collapsed="false">
      <c r="A186" s="22" t="str">
        <f aca="false">IF(175&lt;=$E$5,175,"")</f>
        <v/>
      </c>
      <c r="B186" s="42" t="str">
        <f aca="false">IF(A186="","",IF($C$8="","",EDATE($C$8,(A186-1)*12/$C$7)))</f>
        <v/>
      </c>
      <c r="C186" s="43" t="str">
        <f aca="false">IF(A186="","",$E$4)</f>
        <v/>
      </c>
      <c r="D186" s="43" t="str">
        <f aca="false">IF(A186="","",C186-E186)</f>
        <v/>
      </c>
      <c r="E186" s="43" t="str">
        <f aca="false">IF(A186="","",F185*$C$5/$C$7)</f>
        <v/>
      </c>
      <c r="F186" s="43" t="str">
        <f aca="false">IF(A186="","",MAX(0,F185-D186))</f>
        <v/>
      </c>
    </row>
    <row r="187" customFormat="false" ht="15" hidden="false" customHeight="false" outlineLevel="0" collapsed="false">
      <c r="A187" s="22" t="str">
        <f aca="false">IF(176&lt;=$E$5,176,"")</f>
        <v/>
      </c>
      <c r="B187" s="42" t="str">
        <f aca="false">IF(A187="","",IF($C$8="","",EDATE($C$8,(A187-1)*12/$C$7)))</f>
        <v/>
      </c>
      <c r="C187" s="43" t="str">
        <f aca="false">IF(A187="","",$E$4)</f>
        <v/>
      </c>
      <c r="D187" s="43" t="str">
        <f aca="false">IF(A187="","",C187-E187)</f>
        <v/>
      </c>
      <c r="E187" s="43" t="str">
        <f aca="false">IF(A187="","",F186*$C$5/$C$7)</f>
        <v/>
      </c>
      <c r="F187" s="43" t="str">
        <f aca="false">IF(A187="","",MAX(0,F186-D187))</f>
        <v/>
      </c>
    </row>
    <row r="188" customFormat="false" ht="15" hidden="false" customHeight="false" outlineLevel="0" collapsed="false">
      <c r="A188" s="22" t="str">
        <f aca="false">IF(177&lt;=$E$5,177,"")</f>
        <v/>
      </c>
      <c r="B188" s="42" t="str">
        <f aca="false">IF(A188="","",IF($C$8="","",EDATE($C$8,(A188-1)*12/$C$7)))</f>
        <v/>
      </c>
      <c r="C188" s="43" t="str">
        <f aca="false">IF(A188="","",$E$4)</f>
        <v/>
      </c>
      <c r="D188" s="43" t="str">
        <f aca="false">IF(A188="","",C188-E188)</f>
        <v/>
      </c>
      <c r="E188" s="43" t="str">
        <f aca="false">IF(A188="","",F187*$C$5/$C$7)</f>
        <v/>
      </c>
      <c r="F188" s="43" t="str">
        <f aca="false">IF(A188="","",MAX(0,F187-D188))</f>
        <v/>
      </c>
    </row>
    <row r="189" customFormat="false" ht="15" hidden="false" customHeight="false" outlineLevel="0" collapsed="false">
      <c r="A189" s="22" t="str">
        <f aca="false">IF(178&lt;=$E$5,178,"")</f>
        <v/>
      </c>
      <c r="B189" s="42" t="str">
        <f aca="false">IF(A189="","",IF($C$8="","",EDATE($C$8,(A189-1)*12/$C$7)))</f>
        <v/>
      </c>
      <c r="C189" s="43" t="str">
        <f aca="false">IF(A189="","",$E$4)</f>
        <v/>
      </c>
      <c r="D189" s="43" t="str">
        <f aca="false">IF(A189="","",C189-E189)</f>
        <v/>
      </c>
      <c r="E189" s="43" t="str">
        <f aca="false">IF(A189="","",F188*$C$5/$C$7)</f>
        <v/>
      </c>
      <c r="F189" s="43" t="str">
        <f aca="false">IF(A189="","",MAX(0,F188-D189))</f>
        <v/>
      </c>
    </row>
    <row r="190" customFormat="false" ht="15" hidden="false" customHeight="false" outlineLevel="0" collapsed="false">
      <c r="A190" s="22" t="str">
        <f aca="false">IF(179&lt;=$E$5,179,"")</f>
        <v/>
      </c>
      <c r="B190" s="42" t="str">
        <f aca="false">IF(A190="","",IF($C$8="","",EDATE($C$8,(A190-1)*12/$C$7)))</f>
        <v/>
      </c>
      <c r="C190" s="43" t="str">
        <f aca="false">IF(A190="","",$E$4)</f>
        <v/>
      </c>
      <c r="D190" s="43" t="str">
        <f aca="false">IF(A190="","",C190-E190)</f>
        <v/>
      </c>
      <c r="E190" s="43" t="str">
        <f aca="false">IF(A190="","",F189*$C$5/$C$7)</f>
        <v/>
      </c>
      <c r="F190" s="43" t="str">
        <f aca="false">IF(A190="","",MAX(0,F189-D190))</f>
        <v/>
      </c>
    </row>
    <row r="191" customFormat="false" ht="15" hidden="false" customHeight="false" outlineLevel="0" collapsed="false">
      <c r="A191" s="22" t="str">
        <f aca="false">IF(180&lt;=$E$5,180,"")</f>
        <v/>
      </c>
      <c r="B191" s="42" t="str">
        <f aca="false">IF(A191="","",IF($C$8="","",EDATE($C$8,(A191-1)*12/$C$7)))</f>
        <v/>
      </c>
      <c r="C191" s="43" t="str">
        <f aca="false">IF(A191="","",$E$4)</f>
        <v/>
      </c>
      <c r="D191" s="43" t="str">
        <f aca="false">IF(A191="","",C191-E191)</f>
        <v/>
      </c>
      <c r="E191" s="43" t="str">
        <f aca="false">IF(A191="","",F190*$C$5/$C$7)</f>
        <v/>
      </c>
      <c r="F191" s="43" t="str">
        <f aca="false">IF(A191="","",MAX(0,F190-D191))</f>
        <v/>
      </c>
    </row>
    <row r="192" customFormat="false" ht="15" hidden="false" customHeight="false" outlineLevel="0" collapsed="false">
      <c r="A192" s="22" t="str">
        <f aca="false">IF(181&lt;=$E$5,181,"")</f>
        <v/>
      </c>
      <c r="B192" s="42" t="str">
        <f aca="false">IF(A192="","",IF($C$8="","",EDATE($C$8,(A192-1)*12/$C$7)))</f>
        <v/>
      </c>
      <c r="C192" s="43" t="str">
        <f aca="false">IF(A192="","",$E$4)</f>
        <v/>
      </c>
      <c r="D192" s="43" t="str">
        <f aca="false">IF(A192="","",C192-E192)</f>
        <v/>
      </c>
      <c r="E192" s="43" t="str">
        <f aca="false">IF(A192="","",F191*$C$5/$C$7)</f>
        <v/>
      </c>
      <c r="F192" s="43" t="str">
        <f aca="false">IF(A192="","",MAX(0,F191-D192))</f>
        <v/>
      </c>
    </row>
    <row r="193" customFormat="false" ht="15" hidden="false" customHeight="false" outlineLevel="0" collapsed="false">
      <c r="A193" s="22" t="str">
        <f aca="false">IF(182&lt;=$E$5,182,"")</f>
        <v/>
      </c>
      <c r="B193" s="42" t="str">
        <f aca="false">IF(A193="","",IF($C$8="","",EDATE($C$8,(A193-1)*12/$C$7)))</f>
        <v/>
      </c>
      <c r="C193" s="43" t="str">
        <f aca="false">IF(A193="","",$E$4)</f>
        <v/>
      </c>
      <c r="D193" s="43" t="str">
        <f aca="false">IF(A193="","",C193-E193)</f>
        <v/>
      </c>
      <c r="E193" s="43" t="str">
        <f aca="false">IF(A193="","",F192*$C$5/$C$7)</f>
        <v/>
      </c>
      <c r="F193" s="43" t="str">
        <f aca="false">IF(A193="","",MAX(0,F192-D193))</f>
        <v/>
      </c>
    </row>
    <row r="194" customFormat="false" ht="15" hidden="false" customHeight="false" outlineLevel="0" collapsed="false">
      <c r="A194" s="22" t="str">
        <f aca="false">IF(183&lt;=$E$5,183,"")</f>
        <v/>
      </c>
      <c r="B194" s="42" t="str">
        <f aca="false">IF(A194="","",IF($C$8="","",EDATE($C$8,(A194-1)*12/$C$7)))</f>
        <v/>
      </c>
      <c r="C194" s="43" t="str">
        <f aca="false">IF(A194="","",$E$4)</f>
        <v/>
      </c>
      <c r="D194" s="43" t="str">
        <f aca="false">IF(A194="","",C194-E194)</f>
        <v/>
      </c>
      <c r="E194" s="43" t="str">
        <f aca="false">IF(A194="","",F193*$C$5/$C$7)</f>
        <v/>
      </c>
      <c r="F194" s="43" t="str">
        <f aca="false">IF(A194="","",MAX(0,F193-D194))</f>
        <v/>
      </c>
    </row>
    <row r="195" customFormat="false" ht="15" hidden="false" customHeight="false" outlineLevel="0" collapsed="false">
      <c r="A195" s="22" t="str">
        <f aca="false">IF(184&lt;=$E$5,184,"")</f>
        <v/>
      </c>
      <c r="B195" s="42" t="str">
        <f aca="false">IF(A195="","",IF($C$8="","",EDATE($C$8,(A195-1)*12/$C$7)))</f>
        <v/>
      </c>
      <c r="C195" s="43" t="str">
        <f aca="false">IF(A195="","",$E$4)</f>
        <v/>
      </c>
      <c r="D195" s="43" t="str">
        <f aca="false">IF(A195="","",C195-E195)</f>
        <v/>
      </c>
      <c r="E195" s="43" t="str">
        <f aca="false">IF(A195="","",F194*$C$5/$C$7)</f>
        <v/>
      </c>
      <c r="F195" s="43" t="str">
        <f aca="false">IF(A195="","",MAX(0,F194-D195))</f>
        <v/>
      </c>
    </row>
    <row r="196" customFormat="false" ht="15" hidden="false" customHeight="false" outlineLevel="0" collapsed="false">
      <c r="A196" s="22" t="str">
        <f aca="false">IF(185&lt;=$E$5,185,"")</f>
        <v/>
      </c>
      <c r="B196" s="42" t="str">
        <f aca="false">IF(A196="","",IF($C$8="","",EDATE($C$8,(A196-1)*12/$C$7)))</f>
        <v/>
      </c>
      <c r="C196" s="43" t="str">
        <f aca="false">IF(A196="","",$E$4)</f>
        <v/>
      </c>
      <c r="D196" s="43" t="str">
        <f aca="false">IF(A196="","",C196-E196)</f>
        <v/>
      </c>
      <c r="E196" s="43" t="str">
        <f aca="false">IF(A196="","",F195*$C$5/$C$7)</f>
        <v/>
      </c>
      <c r="F196" s="43" t="str">
        <f aca="false">IF(A196="","",MAX(0,F195-D196))</f>
        <v/>
      </c>
    </row>
    <row r="197" customFormat="false" ht="15" hidden="false" customHeight="false" outlineLevel="0" collapsed="false">
      <c r="A197" s="22" t="str">
        <f aca="false">IF(186&lt;=$E$5,186,"")</f>
        <v/>
      </c>
      <c r="B197" s="42" t="str">
        <f aca="false">IF(A197="","",IF($C$8="","",EDATE($C$8,(A197-1)*12/$C$7)))</f>
        <v/>
      </c>
      <c r="C197" s="43" t="str">
        <f aca="false">IF(A197="","",$E$4)</f>
        <v/>
      </c>
      <c r="D197" s="43" t="str">
        <f aca="false">IF(A197="","",C197-E197)</f>
        <v/>
      </c>
      <c r="E197" s="43" t="str">
        <f aca="false">IF(A197="","",F196*$C$5/$C$7)</f>
        <v/>
      </c>
      <c r="F197" s="43" t="str">
        <f aca="false">IF(A197="","",MAX(0,F196-D197))</f>
        <v/>
      </c>
    </row>
    <row r="198" customFormat="false" ht="15" hidden="false" customHeight="false" outlineLevel="0" collapsed="false">
      <c r="A198" s="22" t="str">
        <f aca="false">IF(187&lt;=$E$5,187,"")</f>
        <v/>
      </c>
      <c r="B198" s="42" t="str">
        <f aca="false">IF(A198="","",IF($C$8="","",EDATE($C$8,(A198-1)*12/$C$7)))</f>
        <v/>
      </c>
      <c r="C198" s="43" t="str">
        <f aca="false">IF(A198="","",$E$4)</f>
        <v/>
      </c>
      <c r="D198" s="43" t="str">
        <f aca="false">IF(A198="","",C198-E198)</f>
        <v/>
      </c>
      <c r="E198" s="43" t="str">
        <f aca="false">IF(A198="","",F197*$C$5/$C$7)</f>
        <v/>
      </c>
      <c r="F198" s="43" t="str">
        <f aca="false">IF(A198="","",MAX(0,F197-D198))</f>
        <v/>
      </c>
    </row>
    <row r="199" customFormat="false" ht="15" hidden="false" customHeight="false" outlineLevel="0" collapsed="false">
      <c r="A199" s="22" t="str">
        <f aca="false">IF(188&lt;=$E$5,188,"")</f>
        <v/>
      </c>
      <c r="B199" s="42" t="str">
        <f aca="false">IF(A199="","",IF($C$8="","",EDATE($C$8,(A199-1)*12/$C$7)))</f>
        <v/>
      </c>
      <c r="C199" s="43" t="str">
        <f aca="false">IF(A199="","",$E$4)</f>
        <v/>
      </c>
      <c r="D199" s="43" t="str">
        <f aca="false">IF(A199="","",C199-E199)</f>
        <v/>
      </c>
      <c r="E199" s="43" t="str">
        <f aca="false">IF(A199="","",F198*$C$5/$C$7)</f>
        <v/>
      </c>
      <c r="F199" s="43" t="str">
        <f aca="false">IF(A199="","",MAX(0,F198-D199))</f>
        <v/>
      </c>
    </row>
    <row r="200" customFormat="false" ht="15" hidden="false" customHeight="false" outlineLevel="0" collapsed="false">
      <c r="A200" s="22" t="str">
        <f aca="false">IF(189&lt;=$E$5,189,"")</f>
        <v/>
      </c>
      <c r="B200" s="42" t="str">
        <f aca="false">IF(A200="","",IF($C$8="","",EDATE($C$8,(A200-1)*12/$C$7)))</f>
        <v/>
      </c>
      <c r="C200" s="43" t="str">
        <f aca="false">IF(A200="","",$E$4)</f>
        <v/>
      </c>
      <c r="D200" s="43" t="str">
        <f aca="false">IF(A200="","",C200-E200)</f>
        <v/>
      </c>
      <c r="E200" s="43" t="str">
        <f aca="false">IF(A200="","",F199*$C$5/$C$7)</f>
        <v/>
      </c>
      <c r="F200" s="43" t="str">
        <f aca="false">IF(A200="","",MAX(0,F199-D200))</f>
        <v/>
      </c>
    </row>
    <row r="201" customFormat="false" ht="15" hidden="false" customHeight="false" outlineLevel="0" collapsed="false">
      <c r="A201" s="22" t="str">
        <f aca="false">IF(190&lt;=$E$5,190,"")</f>
        <v/>
      </c>
      <c r="B201" s="42" t="str">
        <f aca="false">IF(A201="","",IF($C$8="","",EDATE($C$8,(A201-1)*12/$C$7)))</f>
        <v/>
      </c>
      <c r="C201" s="43" t="str">
        <f aca="false">IF(A201="","",$E$4)</f>
        <v/>
      </c>
      <c r="D201" s="43" t="str">
        <f aca="false">IF(A201="","",C201-E201)</f>
        <v/>
      </c>
      <c r="E201" s="43" t="str">
        <f aca="false">IF(A201="","",F200*$C$5/$C$7)</f>
        <v/>
      </c>
      <c r="F201" s="43" t="str">
        <f aca="false">IF(A201="","",MAX(0,F200-D201))</f>
        <v/>
      </c>
    </row>
    <row r="202" customFormat="false" ht="15" hidden="false" customHeight="false" outlineLevel="0" collapsed="false">
      <c r="A202" s="22" t="str">
        <f aca="false">IF(191&lt;=$E$5,191,"")</f>
        <v/>
      </c>
      <c r="B202" s="42" t="str">
        <f aca="false">IF(A202="","",IF($C$8="","",EDATE($C$8,(A202-1)*12/$C$7)))</f>
        <v/>
      </c>
      <c r="C202" s="43" t="str">
        <f aca="false">IF(A202="","",$E$4)</f>
        <v/>
      </c>
      <c r="D202" s="43" t="str">
        <f aca="false">IF(A202="","",C202-E202)</f>
        <v/>
      </c>
      <c r="E202" s="43" t="str">
        <f aca="false">IF(A202="","",F201*$C$5/$C$7)</f>
        <v/>
      </c>
      <c r="F202" s="43" t="str">
        <f aca="false">IF(A202="","",MAX(0,F201-D202))</f>
        <v/>
      </c>
    </row>
    <row r="203" customFormat="false" ht="15" hidden="false" customHeight="false" outlineLevel="0" collapsed="false">
      <c r="A203" s="22" t="str">
        <f aca="false">IF(192&lt;=$E$5,192,"")</f>
        <v/>
      </c>
      <c r="B203" s="42" t="str">
        <f aca="false">IF(A203="","",IF($C$8="","",EDATE($C$8,(A203-1)*12/$C$7)))</f>
        <v/>
      </c>
      <c r="C203" s="43" t="str">
        <f aca="false">IF(A203="","",$E$4)</f>
        <v/>
      </c>
      <c r="D203" s="43" t="str">
        <f aca="false">IF(A203="","",C203-E203)</f>
        <v/>
      </c>
      <c r="E203" s="43" t="str">
        <f aca="false">IF(A203="","",F202*$C$5/$C$7)</f>
        <v/>
      </c>
      <c r="F203" s="43" t="str">
        <f aca="false">IF(A203="","",MAX(0,F202-D203))</f>
        <v/>
      </c>
    </row>
    <row r="204" customFormat="false" ht="15" hidden="false" customHeight="false" outlineLevel="0" collapsed="false">
      <c r="A204" s="22" t="str">
        <f aca="false">IF(193&lt;=$E$5,193,"")</f>
        <v/>
      </c>
      <c r="B204" s="42" t="str">
        <f aca="false">IF(A204="","",IF($C$8="","",EDATE($C$8,(A204-1)*12/$C$7)))</f>
        <v/>
      </c>
      <c r="C204" s="43" t="str">
        <f aca="false">IF(A204="","",$E$4)</f>
        <v/>
      </c>
      <c r="D204" s="43" t="str">
        <f aca="false">IF(A204="","",C204-E204)</f>
        <v/>
      </c>
      <c r="E204" s="43" t="str">
        <f aca="false">IF(A204="","",F203*$C$5/$C$7)</f>
        <v/>
      </c>
      <c r="F204" s="43" t="str">
        <f aca="false">IF(A204="","",MAX(0,F203-D204))</f>
        <v/>
      </c>
    </row>
    <row r="205" customFormat="false" ht="15" hidden="false" customHeight="false" outlineLevel="0" collapsed="false">
      <c r="A205" s="22" t="str">
        <f aca="false">IF(194&lt;=$E$5,194,"")</f>
        <v/>
      </c>
      <c r="B205" s="42" t="str">
        <f aca="false">IF(A205="","",IF($C$8="","",EDATE($C$8,(A205-1)*12/$C$7)))</f>
        <v/>
      </c>
      <c r="C205" s="43" t="str">
        <f aca="false">IF(A205="","",$E$4)</f>
        <v/>
      </c>
      <c r="D205" s="43" t="str">
        <f aca="false">IF(A205="","",C205-E205)</f>
        <v/>
      </c>
      <c r="E205" s="43" t="str">
        <f aca="false">IF(A205="","",F204*$C$5/$C$7)</f>
        <v/>
      </c>
      <c r="F205" s="43" t="str">
        <f aca="false">IF(A205="","",MAX(0,F204-D205))</f>
        <v/>
      </c>
    </row>
    <row r="206" customFormat="false" ht="15" hidden="false" customHeight="false" outlineLevel="0" collapsed="false">
      <c r="A206" s="22" t="str">
        <f aca="false">IF(195&lt;=$E$5,195,"")</f>
        <v/>
      </c>
      <c r="B206" s="42" t="str">
        <f aca="false">IF(A206="","",IF($C$8="","",EDATE($C$8,(A206-1)*12/$C$7)))</f>
        <v/>
      </c>
      <c r="C206" s="43" t="str">
        <f aca="false">IF(A206="","",$E$4)</f>
        <v/>
      </c>
      <c r="D206" s="43" t="str">
        <f aca="false">IF(A206="","",C206-E206)</f>
        <v/>
      </c>
      <c r="E206" s="43" t="str">
        <f aca="false">IF(A206="","",F205*$C$5/$C$7)</f>
        <v/>
      </c>
      <c r="F206" s="43" t="str">
        <f aca="false">IF(A206="","",MAX(0,F205-D206))</f>
        <v/>
      </c>
    </row>
    <row r="207" customFormat="false" ht="15" hidden="false" customHeight="false" outlineLevel="0" collapsed="false">
      <c r="A207" s="22" t="str">
        <f aca="false">IF(196&lt;=$E$5,196,"")</f>
        <v/>
      </c>
      <c r="B207" s="42" t="str">
        <f aca="false">IF(A207="","",IF($C$8="","",EDATE($C$8,(A207-1)*12/$C$7)))</f>
        <v/>
      </c>
      <c r="C207" s="43" t="str">
        <f aca="false">IF(A207="","",$E$4)</f>
        <v/>
      </c>
      <c r="D207" s="43" t="str">
        <f aca="false">IF(A207="","",C207-E207)</f>
        <v/>
      </c>
      <c r="E207" s="43" t="str">
        <f aca="false">IF(A207="","",F206*$C$5/$C$7)</f>
        <v/>
      </c>
      <c r="F207" s="43" t="str">
        <f aca="false">IF(A207="","",MAX(0,F206-D207))</f>
        <v/>
      </c>
    </row>
    <row r="208" customFormat="false" ht="15" hidden="false" customHeight="false" outlineLevel="0" collapsed="false">
      <c r="A208" s="22" t="str">
        <f aca="false">IF(197&lt;=$E$5,197,"")</f>
        <v/>
      </c>
      <c r="B208" s="42" t="str">
        <f aca="false">IF(A208="","",IF($C$8="","",EDATE($C$8,(A208-1)*12/$C$7)))</f>
        <v/>
      </c>
      <c r="C208" s="43" t="str">
        <f aca="false">IF(A208="","",$E$4)</f>
        <v/>
      </c>
      <c r="D208" s="43" t="str">
        <f aca="false">IF(A208="","",C208-E208)</f>
        <v/>
      </c>
      <c r="E208" s="43" t="str">
        <f aca="false">IF(A208="","",F207*$C$5/$C$7)</f>
        <v/>
      </c>
      <c r="F208" s="43" t="str">
        <f aca="false">IF(A208="","",MAX(0,F207-D208))</f>
        <v/>
      </c>
    </row>
    <row r="209" customFormat="false" ht="15" hidden="false" customHeight="false" outlineLevel="0" collapsed="false">
      <c r="A209" s="22" t="str">
        <f aca="false">IF(198&lt;=$E$5,198,"")</f>
        <v/>
      </c>
      <c r="B209" s="42" t="str">
        <f aca="false">IF(A209="","",IF($C$8="","",EDATE($C$8,(A209-1)*12/$C$7)))</f>
        <v/>
      </c>
      <c r="C209" s="43" t="str">
        <f aca="false">IF(A209="","",$E$4)</f>
        <v/>
      </c>
      <c r="D209" s="43" t="str">
        <f aca="false">IF(A209="","",C209-E209)</f>
        <v/>
      </c>
      <c r="E209" s="43" t="str">
        <f aca="false">IF(A209="","",F208*$C$5/$C$7)</f>
        <v/>
      </c>
      <c r="F209" s="43" t="str">
        <f aca="false">IF(A209="","",MAX(0,F208-D209))</f>
        <v/>
      </c>
    </row>
    <row r="210" customFormat="false" ht="15" hidden="false" customHeight="false" outlineLevel="0" collapsed="false">
      <c r="A210" s="22" t="str">
        <f aca="false">IF(199&lt;=$E$5,199,"")</f>
        <v/>
      </c>
      <c r="B210" s="42" t="str">
        <f aca="false">IF(A210="","",IF($C$8="","",EDATE($C$8,(A210-1)*12/$C$7)))</f>
        <v/>
      </c>
      <c r="C210" s="43" t="str">
        <f aca="false">IF(A210="","",$E$4)</f>
        <v/>
      </c>
      <c r="D210" s="43" t="str">
        <f aca="false">IF(A210="","",C210-E210)</f>
        <v/>
      </c>
      <c r="E210" s="43" t="str">
        <f aca="false">IF(A210="","",F209*$C$5/$C$7)</f>
        <v/>
      </c>
      <c r="F210" s="43" t="str">
        <f aca="false">IF(A210="","",MAX(0,F209-D210))</f>
        <v/>
      </c>
    </row>
    <row r="211" customFormat="false" ht="15" hidden="false" customHeight="false" outlineLevel="0" collapsed="false">
      <c r="A211" s="22" t="str">
        <f aca="false">IF(200&lt;=$E$5,200,"")</f>
        <v/>
      </c>
      <c r="B211" s="42" t="str">
        <f aca="false">IF(A211="","",IF($C$8="","",EDATE($C$8,(A211-1)*12/$C$7)))</f>
        <v/>
      </c>
      <c r="C211" s="43" t="str">
        <f aca="false">IF(A211="","",$E$4)</f>
        <v/>
      </c>
      <c r="D211" s="43" t="str">
        <f aca="false">IF(A211="","",C211-E211)</f>
        <v/>
      </c>
      <c r="E211" s="43" t="str">
        <f aca="false">IF(A211="","",F210*$C$5/$C$7)</f>
        <v/>
      </c>
      <c r="F211" s="43" t="str">
        <f aca="false">IF(A211="","",MAX(0,F210-D211))</f>
        <v/>
      </c>
    </row>
    <row r="212" customFormat="false" ht="15" hidden="false" customHeight="false" outlineLevel="0" collapsed="false">
      <c r="A212" s="22" t="str">
        <f aca="false">IF(201&lt;=$E$5,201,"")</f>
        <v/>
      </c>
      <c r="B212" s="42" t="str">
        <f aca="false">IF(A212="","",IF($C$8="","",EDATE($C$8,(A212-1)*12/$C$7)))</f>
        <v/>
      </c>
      <c r="C212" s="43" t="str">
        <f aca="false">IF(A212="","",$E$4)</f>
        <v/>
      </c>
      <c r="D212" s="43" t="str">
        <f aca="false">IF(A212="","",C212-E212)</f>
        <v/>
      </c>
      <c r="E212" s="43" t="str">
        <f aca="false">IF(A212="","",F211*$C$5/$C$7)</f>
        <v/>
      </c>
      <c r="F212" s="43" t="str">
        <f aca="false">IF(A212="","",MAX(0,F211-D212))</f>
        <v/>
      </c>
    </row>
    <row r="213" customFormat="false" ht="15" hidden="false" customHeight="false" outlineLevel="0" collapsed="false">
      <c r="A213" s="22" t="str">
        <f aca="false">IF(202&lt;=$E$5,202,"")</f>
        <v/>
      </c>
      <c r="B213" s="42" t="str">
        <f aca="false">IF(A213="","",IF($C$8="","",EDATE($C$8,(A213-1)*12/$C$7)))</f>
        <v/>
      </c>
      <c r="C213" s="43" t="str">
        <f aca="false">IF(A213="","",$E$4)</f>
        <v/>
      </c>
      <c r="D213" s="43" t="str">
        <f aca="false">IF(A213="","",C213-E213)</f>
        <v/>
      </c>
      <c r="E213" s="43" t="str">
        <f aca="false">IF(A213="","",F212*$C$5/$C$7)</f>
        <v/>
      </c>
      <c r="F213" s="43" t="str">
        <f aca="false">IF(A213="","",MAX(0,F212-D213))</f>
        <v/>
      </c>
    </row>
    <row r="214" customFormat="false" ht="15" hidden="false" customHeight="false" outlineLevel="0" collapsed="false">
      <c r="A214" s="22" t="str">
        <f aca="false">IF(203&lt;=$E$5,203,"")</f>
        <v/>
      </c>
      <c r="B214" s="42" t="str">
        <f aca="false">IF(A214="","",IF($C$8="","",EDATE($C$8,(A214-1)*12/$C$7)))</f>
        <v/>
      </c>
      <c r="C214" s="43" t="str">
        <f aca="false">IF(A214="","",$E$4)</f>
        <v/>
      </c>
      <c r="D214" s="43" t="str">
        <f aca="false">IF(A214="","",C214-E214)</f>
        <v/>
      </c>
      <c r="E214" s="43" t="str">
        <f aca="false">IF(A214="","",F213*$C$5/$C$7)</f>
        <v/>
      </c>
      <c r="F214" s="43" t="str">
        <f aca="false">IF(A214="","",MAX(0,F213-D214))</f>
        <v/>
      </c>
    </row>
    <row r="215" customFormat="false" ht="15" hidden="false" customHeight="false" outlineLevel="0" collapsed="false">
      <c r="A215" s="22" t="str">
        <f aca="false">IF(204&lt;=$E$5,204,"")</f>
        <v/>
      </c>
      <c r="B215" s="42" t="str">
        <f aca="false">IF(A215="","",IF($C$8="","",EDATE($C$8,(A215-1)*12/$C$7)))</f>
        <v/>
      </c>
      <c r="C215" s="43" t="str">
        <f aca="false">IF(A215="","",$E$4)</f>
        <v/>
      </c>
      <c r="D215" s="43" t="str">
        <f aca="false">IF(A215="","",C215-E215)</f>
        <v/>
      </c>
      <c r="E215" s="43" t="str">
        <f aca="false">IF(A215="","",F214*$C$5/$C$7)</f>
        <v/>
      </c>
      <c r="F215" s="43" t="str">
        <f aca="false">IF(A215="","",MAX(0,F214-D215))</f>
        <v/>
      </c>
    </row>
    <row r="216" customFormat="false" ht="15" hidden="false" customHeight="false" outlineLevel="0" collapsed="false">
      <c r="A216" s="22" t="str">
        <f aca="false">IF(205&lt;=$E$5,205,"")</f>
        <v/>
      </c>
      <c r="B216" s="42" t="str">
        <f aca="false">IF(A216="","",IF($C$8="","",EDATE($C$8,(A216-1)*12/$C$7)))</f>
        <v/>
      </c>
      <c r="C216" s="43" t="str">
        <f aca="false">IF(A216="","",$E$4)</f>
        <v/>
      </c>
      <c r="D216" s="43" t="str">
        <f aca="false">IF(A216="","",C216-E216)</f>
        <v/>
      </c>
      <c r="E216" s="43" t="str">
        <f aca="false">IF(A216="","",F215*$C$5/$C$7)</f>
        <v/>
      </c>
      <c r="F216" s="43" t="str">
        <f aca="false">IF(A216="","",MAX(0,F215-D216))</f>
        <v/>
      </c>
    </row>
    <row r="217" customFormat="false" ht="15" hidden="false" customHeight="false" outlineLevel="0" collapsed="false">
      <c r="A217" s="22" t="str">
        <f aca="false">IF(206&lt;=$E$5,206,"")</f>
        <v/>
      </c>
      <c r="B217" s="42" t="str">
        <f aca="false">IF(A217="","",IF($C$8="","",EDATE($C$8,(A217-1)*12/$C$7)))</f>
        <v/>
      </c>
      <c r="C217" s="43" t="str">
        <f aca="false">IF(A217="","",$E$4)</f>
        <v/>
      </c>
      <c r="D217" s="43" t="str">
        <f aca="false">IF(A217="","",C217-E217)</f>
        <v/>
      </c>
      <c r="E217" s="43" t="str">
        <f aca="false">IF(A217="","",F216*$C$5/$C$7)</f>
        <v/>
      </c>
      <c r="F217" s="43" t="str">
        <f aca="false">IF(A217="","",MAX(0,F216-D217))</f>
        <v/>
      </c>
    </row>
    <row r="218" customFormat="false" ht="15" hidden="false" customHeight="false" outlineLevel="0" collapsed="false">
      <c r="A218" s="22" t="str">
        <f aca="false">IF(207&lt;=$E$5,207,"")</f>
        <v/>
      </c>
      <c r="B218" s="42" t="str">
        <f aca="false">IF(A218="","",IF($C$8="","",EDATE($C$8,(A218-1)*12/$C$7)))</f>
        <v/>
      </c>
      <c r="C218" s="43" t="str">
        <f aca="false">IF(A218="","",$E$4)</f>
        <v/>
      </c>
      <c r="D218" s="43" t="str">
        <f aca="false">IF(A218="","",C218-E218)</f>
        <v/>
      </c>
      <c r="E218" s="43" t="str">
        <f aca="false">IF(A218="","",F217*$C$5/$C$7)</f>
        <v/>
      </c>
      <c r="F218" s="43" t="str">
        <f aca="false">IF(A218="","",MAX(0,F217-D218))</f>
        <v/>
      </c>
    </row>
    <row r="219" customFormat="false" ht="15" hidden="false" customHeight="false" outlineLevel="0" collapsed="false">
      <c r="A219" s="22" t="str">
        <f aca="false">IF(208&lt;=$E$5,208,"")</f>
        <v/>
      </c>
      <c r="B219" s="42" t="str">
        <f aca="false">IF(A219="","",IF($C$8="","",EDATE($C$8,(A219-1)*12/$C$7)))</f>
        <v/>
      </c>
      <c r="C219" s="43" t="str">
        <f aca="false">IF(A219="","",$E$4)</f>
        <v/>
      </c>
      <c r="D219" s="43" t="str">
        <f aca="false">IF(A219="","",C219-E219)</f>
        <v/>
      </c>
      <c r="E219" s="43" t="str">
        <f aca="false">IF(A219="","",F218*$C$5/$C$7)</f>
        <v/>
      </c>
      <c r="F219" s="43" t="str">
        <f aca="false">IF(A219="","",MAX(0,F218-D219))</f>
        <v/>
      </c>
    </row>
    <row r="220" customFormat="false" ht="15" hidden="false" customHeight="false" outlineLevel="0" collapsed="false">
      <c r="A220" s="22" t="str">
        <f aca="false">IF(209&lt;=$E$5,209,"")</f>
        <v/>
      </c>
      <c r="B220" s="42" t="str">
        <f aca="false">IF(A220="","",IF($C$8="","",EDATE($C$8,(A220-1)*12/$C$7)))</f>
        <v/>
      </c>
      <c r="C220" s="43" t="str">
        <f aca="false">IF(A220="","",$E$4)</f>
        <v/>
      </c>
      <c r="D220" s="43" t="str">
        <f aca="false">IF(A220="","",C220-E220)</f>
        <v/>
      </c>
      <c r="E220" s="43" t="str">
        <f aca="false">IF(A220="","",F219*$C$5/$C$7)</f>
        <v/>
      </c>
      <c r="F220" s="43" t="str">
        <f aca="false">IF(A220="","",MAX(0,F219-D220))</f>
        <v/>
      </c>
    </row>
    <row r="221" customFormat="false" ht="15" hidden="false" customHeight="false" outlineLevel="0" collapsed="false">
      <c r="A221" s="22" t="str">
        <f aca="false">IF(210&lt;=$E$5,210,"")</f>
        <v/>
      </c>
      <c r="B221" s="42" t="str">
        <f aca="false">IF(A221="","",IF($C$8="","",EDATE($C$8,(A221-1)*12/$C$7)))</f>
        <v/>
      </c>
      <c r="C221" s="43" t="str">
        <f aca="false">IF(A221="","",$E$4)</f>
        <v/>
      </c>
      <c r="D221" s="43" t="str">
        <f aca="false">IF(A221="","",C221-E221)</f>
        <v/>
      </c>
      <c r="E221" s="43" t="str">
        <f aca="false">IF(A221="","",F220*$C$5/$C$7)</f>
        <v/>
      </c>
      <c r="F221" s="43" t="str">
        <f aca="false">IF(A221="","",MAX(0,F220-D221))</f>
        <v/>
      </c>
    </row>
    <row r="222" customFormat="false" ht="15" hidden="false" customHeight="false" outlineLevel="0" collapsed="false">
      <c r="A222" s="22" t="str">
        <f aca="false">IF(211&lt;=$E$5,211,"")</f>
        <v/>
      </c>
      <c r="B222" s="42" t="str">
        <f aca="false">IF(A222="","",IF($C$8="","",EDATE($C$8,(A222-1)*12/$C$7)))</f>
        <v/>
      </c>
      <c r="C222" s="43" t="str">
        <f aca="false">IF(A222="","",$E$4)</f>
        <v/>
      </c>
      <c r="D222" s="43" t="str">
        <f aca="false">IF(A222="","",C222-E222)</f>
        <v/>
      </c>
      <c r="E222" s="43" t="str">
        <f aca="false">IF(A222="","",F221*$C$5/$C$7)</f>
        <v/>
      </c>
      <c r="F222" s="43" t="str">
        <f aca="false">IF(A222="","",MAX(0,F221-D222))</f>
        <v/>
      </c>
    </row>
    <row r="223" customFormat="false" ht="15" hidden="false" customHeight="false" outlineLevel="0" collapsed="false">
      <c r="A223" s="22" t="str">
        <f aca="false">IF(212&lt;=$E$5,212,"")</f>
        <v/>
      </c>
      <c r="B223" s="42" t="str">
        <f aca="false">IF(A223="","",IF($C$8="","",EDATE($C$8,(A223-1)*12/$C$7)))</f>
        <v/>
      </c>
      <c r="C223" s="43" t="str">
        <f aca="false">IF(A223="","",$E$4)</f>
        <v/>
      </c>
      <c r="D223" s="43" t="str">
        <f aca="false">IF(A223="","",C223-E223)</f>
        <v/>
      </c>
      <c r="E223" s="43" t="str">
        <f aca="false">IF(A223="","",F222*$C$5/$C$7)</f>
        <v/>
      </c>
      <c r="F223" s="43" t="str">
        <f aca="false">IF(A223="","",MAX(0,F222-D223))</f>
        <v/>
      </c>
    </row>
    <row r="224" customFormat="false" ht="15" hidden="false" customHeight="false" outlineLevel="0" collapsed="false">
      <c r="A224" s="22" t="str">
        <f aca="false">IF(213&lt;=$E$5,213,"")</f>
        <v/>
      </c>
      <c r="B224" s="42" t="str">
        <f aca="false">IF(A224="","",IF($C$8="","",EDATE($C$8,(A224-1)*12/$C$7)))</f>
        <v/>
      </c>
      <c r="C224" s="43" t="str">
        <f aca="false">IF(A224="","",$E$4)</f>
        <v/>
      </c>
      <c r="D224" s="43" t="str">
        <f aca="false">IF(A224="","",C224-E224)</f>
        <v/>
      </c>
      <c r="E224" s="43" t="str">
        <f aca="false">IF(A224="","",F223*$C$5/$C$7)</f>
        <v/>
      </c>
      <c r="F224" s="43" t="str">
        <f aca="false">IF(A224="","",MAX(0,F223-D224))</f>
        <v/>
      </c>
    </row>
    <row r="225" customFormat="false" ht="15" hidden="false" customHeight="false" outlineLevel="0" collapsed="false">
      <c r="A225" s="22" t="str">
        <f aca="false">IF(214&lt;=$E$5,214,"")</f>
        <v/>
      </c>
      <c r="B225" s="42" t="str">
        <f aca="false">IF(A225="","",IF($C$8="","",EDATE($C$8,(A225-1)*12/$C$7)))</f>
        <v/>
      </c>
      <c r="C225" s="43" t="str">
        <f aca="false">IF(A225="","",$E$4)</f>
        <v/>
      </c>
      <c r="D225" s="43" t="str">
        <f aca="false">IF(A225="","",C225-E225)</f>
        <v/>
      </c>
      <c r="E225" s="43" t="str">
        <f aca="false">IF(A225="","",F224*$C$5/$C$7)</f>
        <v/>
      </c>
      <c r="F225" s="43" t="str">
        <f aca="false">IF(A225="","",MAX(0,F224-D225))</f>
        <v/>
      </c>
    </row>
    <row r="226" customFormat="false" ht="15" hidden="false" customHeight="false" outlineLevel="0" collapsed="false">
      <c r="A226" s="22" t="str">
        <f aca="false">IF(215&lt;=$E$5,215,"")</f>
        <v/>
      </c>
      <c r="B226" s="42" t="str">
        <f aca="false">IF(A226="","",IF($C$8="","",EDATE($C$8,(A226-1)*12/$C$7)))</f>
        <v/>
      </c>
      <c r="C226" s="43" t="str">
        <f aca="false">IF(A226="","",$E$4)</f>
        <v/>
      </c>
      <c r="D226" s="43" t="str">
        <f aca="false">IF(A226="","",C226-E226)</f>
        <v/>
      </c>
      <c r="E226" s="43" t="str">
        <f aca="false">IF(A226="","",F225*$C$5/$C$7)</f>
        <v/>
      </c>
      <c r="F226" s="43" t="str">
        <f aca="false">IF(A226="","",MAX(0,F225-D226))</f>
        <v/>
      </c>
    </row>
    <row r="227" customFormat="false" ht="15" hidden="false" customHeight="false" outlineLevel="0" collapsed="false">
      <c r="A227" s="22" t="str">
        <f aca="false">IF(216&lt;=$E$5,216,"")</f>
        <v/>
      </c>
      <c r="B227" s="42" t="str">
        <f aca="false">IF(A227="","",IF($C$8="","",EDATE($C$8,(A227-1)*12/$C$7)))</f>
        <v/>
      </c>
      <c r="C227" s="43" t="str">
        <f aca="false">IF(A227="","",$E$4)</f>
        <v/>
      </c>
      <c r="D227" s="43" t="str">
        <f aca="false">IF(A227="","",C227-E227)</f>
        <v/>
      </c>
      <c r="E227" s="43" t="str">
        <f aca="false">IF(A227="","",F226*$C$5/$C$7)</f>
        <v/>
      </c>
      <c r="F227" s="43" t="str">
        <f aca="false">IF(A227="","",MAX(0,F226-D227))</f>
        <v/>
      </c>
    </row>
    <row r="228" customFormat="false" ht="15" hidden="false" customHeight="false" outlineLevel="0" collapsed="false">
      <c r="A228" s="22" t="str">
        <f aca="false">IF(217&lt;=$E$5,217,"")</f>
        <v/>
      </c>
      <c r="B228" s="42" t="str">
        <f aca="false">IF(A228="","",IF($C$8="","",EDATE($C$8,(A228-1)*12/$C$7)))</f>
        <v/>
      </c>
      <c r="C228" s="43" t="str">
        <f aca="false">IF(A228="","",$E$4)</f>
        <v/>
      </c>
      <c r="D228" s="43" t="str">
        <f aca="false">IF(A228="","",C228-E228)</f>
        <v/>
      </c>
      <c r="E228" s="43" t="str">
        <f aca="false">IF(A228="","",F227*$C$5/$C$7)</f>
        <v/>
      </c>
      <c r="F228" s="43" t="str">
        <f aca="false">IF(A228="","",MAX(0,F227-D228))</f>
        <v/>
      </c>
    </row>
    <row r="229" customFormat="false" ht="15" hidden="false" customHeight="false" outlineLevel="0" collapsed="false">
      <c r="A229" s="22" t="str">
        <f aca="false">IF(218&lt;=$E$5,218,"")</f>
        <v/>
      </c>
      <c r="B229" s="42" t="str">
        <f aca="false">IF(A229="","",IF($C$8="","",EDATE($C$8,(A229-1)*12/$C$7)))</f>
        <v/>
      </c>
      <c r="C229" s="43" t="str">
        <f aca="false">IF(A229="","",$E$4)</f>
        <v/>
      </c>
      <c r="D229" s="43" t="str">
        <f aca="false">IF(A229="","",C229-E229)</f>
        <v/>
      </c>
      <c r="E229" s="43" t="str">
        <f aca="false">IF(A229="","",F228*$C$5/$C$7)</f>
        <v/>
      </c>
      <c r="F229" s="43" t="str">
        <f aca="false">IF(A229="","",MAX(0,F228-D229))</f>
        <v/>
      </c>
    </row>
    <row r="230" customFormat="false" ht="15" hidden="false" customHeight="false" outlineLevel="0" collapsed="false">
      <c r="A230" s="22" t="str">
        <f aca="false">IF(219&lt;=$E$5,219,"")</f>
        <v/>
      </c>
      <c r="B230" s="42" t="str">
        <f aca="false">IF(A230="","",IF($C$8="","",EDATE($C$8,(A230-1)*12/$C$7)))</f>
        <v/>
      </c>
      <c r="C230" s="43" t="str">
        <f aca="false">IF(A230="","",$E$4)</f>
        <v/>
      </c>
      <c r="D230" s="43" t="str">
        <f aca="false">IF(A230="","",C230-E230)</f>
        <v/>
      </c>
      <c r="E230" s="43" t="str">
        <f aca="false">IF(A230="","",F229*$C$5/$C$7)</f>
        <v/>
      </c>
      <c r="F230" s="43" t="str">
        <f aca="false">IF(A230="","",MAX(0,F229-D230))</f>
        <v/>
      </c>
    </row>
    <row r="231" customFormat="false" ht="15" hidden="false" customHeight="false" outlineLevel="0" collapsed="false">
      <c r="A231" s="22" t="str">
        <f aca="false">IF(220&lt;=$E$5,220,"")</f>
        <v/>
      </c>
      <c r="B231" s="42" t="str">
        <f aca="false">IF(A231="","",IF($C$8="","",EDATE($C$8,(A231-1)*12/$C$7)))</f>
        <v/>
      </c>
      <c r="C231" s="43" t="str">
        <f aca="false">IF(A231="","",$E$4)</f>
        <v/>
      </c>
      <c r="D231" s="43" t="str">
        <f aca="false">IF(A231="","",C231-E231)</f>
        <v/>
      </c>
      <c r="E231" s="43" t="str">
        <f aca="false">IF(A231="","",F230*$C$5/$C$7)</f>
        <v/>
      </c>
      <c r="F231" s="43" t="str">
        <f aca="false">IF(A231="","",MAX(0,F230-D231))</f>
        <v/>
      </c>
    </row>
    <row r="232" customFormat="false" ht="15" hidden="false" customHeight="false" outlineLevel="0" collapsed="false">
      <c r="A232" s="22" t="str">
        <f aca="false">IF(221&lt;=$E$5,221,"")</f>
        <v/>
      </c>
      <c r="B232" s="42" t="str">
        <f aca="false">IF(A232="","",IF($C$8="","",EDATE($C$8,(A232-1)*12/$C$7)))</f>
        <v/>
      </c>
      <c r="C232" s="43" t="str">
        <f aca="false">IF(A232="","",$E$4)</f>
        <v/>
      </c>
      <c r="D232" s="43" t="str">
        <f aca="false">IF(A232="","",C232-E232)</f>
        <v/>
      </c>
      <c r="E232" s="43" t="str">
        <f aca="false">IF(A232="","",F231*$C$5/$C$7)</f>
        <v/>
      </c>
      <c r="F232" s="43" t="str">
        <f aca="false">IF(A232="","",MAX(0,F231-D232))</f>
        <v/>
      </c>
    </row>
    <row r="233" customFormat="false" ht="15" hidden="false" customHeight="false" outlineLevel="0" collapsed="false">
      <c r="A233" s="22" t="str">
        <f aca="false">IF(222&lt;=$E$5,222,"")</f>
        <v/>
      </c>
      <c r="B233" s="42" t="str">
        <f aca="false">IF(A233="","",IF($C$8="","",EDATE($C$8,(A233-1)*12/$C$7)))</f>
        <v/>
      </c>
      <c r="C233" s="43" t="str">
        <f aca="false">IF(A233="","",$E$4)</f>
        <v/>
      </c>
      <c r="D233" s="43" t="str">
        <f aca="false">IF(A233="","",C233-E233)</f>
        <v/>
      </c>
      <c r="E233" s="43" t="str">
        <f aca="false">IF(A233="","",F232*$C$5/$C$7)</f>
        <v/>
      </c>
      <c r="F233" s="43" t="str">
        <f aca="false">IF(A233="","",MAX(0,F232-D233))</f>
        <v/>
      </c>
    </row>
    <row r="234" customFormat="false" ht="15" hidden="false" customHeight="false" outlineLevel="0" collapsed="false">
      <c r="A234" s="22" t="str">
        <f aca="false">IF(223&lt;=$E$5,223,"")</f>
        <v/>
      </c>
      <c r="B234" s="42" t="str">
        <f aca="false">IF(A234="","",IF($C$8="","",EDATE($C$8,(A234-1)*12/$C$7)))</f>
        <v/>
      </c>
      <c r="C234" s="43" t="str">
        <f aca="false">IF(A234="","",$E$4)</f>
        <v/>
      </c>
      <c r="D234" s="43" t="str">
        <f aca="false">IF(A234="","",C234-E234)</f>
        <v/>
      </c>
      <c r="E234" s="43" t="str">
        <f aca="false">IF(A234="","",F233*$C$5/$C$7)</f>
        <v/>
      </c>
      <c r="F234" s="43" t="str">
        <f aca="false">IF(A234="","",MAX(0,F233-D234))</f>
        <v/>
      </c>
    </row>
    <row r="235" customFormat="false" ht="15" hidden="false" customHeight="false" outlineLevel="0" collapsed="false">
      <c r="A235" s="22" t="str">
        <f aca="false">IF(224&lt;=$E$5,224,"")</f>
        <v/>
      </c>
      <c r="B235" s="42" t="str">
        <f aca="false">IF(A235="","",IF($C$8="","",EDATE($C$8,(A235-1)*12/$C$7)))</f>
        <v/>
      </c>
      <c r="C235" s="43" t="str">
        <f aca="false">IF(A235="","",$E$4)</f>
        <v/>
      </c>
      <c r="D235" s="43" t="str">
        <f aca="false">IF(A235="","",C235-E235)</f>
        <v/>
      </c>
      <c r="E235" s="43" t="str">
        <f aca="false">IF(A235="","",F234*$C$5/$C$7)</f>
        <v/>
      </c>
      <c r="F235" s="43" t="str">
        <f aca="false">IF(A235="","",MAX(0,F234-D235))</f>
        <v/>
      </c>
    </row>
    <row r="236" customFormat="false" ht="15" hidden="false" customHeight="false" outlineLevel="0" collapsed="false">
      <c r="A236" s="22" t="str">
        <f aca="false">IF(225&lt;=$E$5,225,"")</f>
        <v/>
      </c>
      <c r="B236" s="42" t="str">
        <f aca="false">IF(A236="","",IF($C$8="","",EDATE($C$8,(A236-1)*12/$C$7)))</f>
        <v/>
      </c>
      <c r="C236" s="43" t="str">
        <f aca="false">IF(A236="","",$E$4)</f>
        <v/>
      </c>
      <c r="D236" s="43" t="str">
        <f aca="false">IF(A236="","",C236-E236)</f>
        <v/>
      </c>
      <c r="E236" s="43" t="str">
        <f aca="false">IF(A236="","",F235*$C$5/$C$7)</f>
        <v/>
      </c>
      <c r="F236" s="43" t="str">
        <f aca="false">IF(A236="","",MAX(0,F235-D236))</f>
        <v/>
      </c>
    </row>
    <row r="237" customFormat="false" ht="15" hidden="false" customHeight="false" outlineLevel="0" collapsed="false">
      <c r="A237" s="22" t="str">
        <f aca="false">IF(226&lt;=$E$5,226,"")</f>
        <v/>
      </c>
      <c r="B237" s="42" t="str">
        <f aca="false">IF(A237="","",IF($C$8="","",EDATE($C$8,(A237-1)*12/$C$7)))</f>
        <v/>
      </c>
      <c r="C237" s="43" t="str">
        <f aca="false">IF(A237="","",$E$4)</f>
        <v/>
      </c>
      <c r="D237" s="43" t="str">
        <f aca="false">IF(A237="","",C237-E237)</f>
        <v/>
      </c>
      <c r="E237" s="43" t="str">
        <f aca="false">IF(A237="","",F236*$C$5/$C$7)</f>
        <v/>
      </c>
      <c r="F237" s="43" t="str">
        <f aca="false">IF(A237="","",MAX(0,F236-D237))</f>
        <v/>
      </c>
    </row>
    <row r="238" customFormat="false" ht="15" hidden="false" customHeight="false" outlineLevel="0" collapsed="false">
      <c r="A238" s="22" t="str">
        <f aca="false">IF(227&lt;=$E$5,227,"")</f>
        <v/>
      </c>
      <c r="B238" s="42" t="str">
        <f aca="false">IF(A238="","",IF($C$8="","",EDATE($C$8,(A238-1)*12/$C$7)))</f>
        <v/>
      </c>
      <c r="C238" s="43" t="str">
        <f aca="false">IF(A238="","",$E$4)</f>
        <v/>
      </c>
      <c r="D238" s="43" t="str">
        <f aca="false">IF(A238="","",C238-E238)</f>
        <v/>
      </c>
      <c r="E238" s="43" t="str">
        <f aca="false">IF(A238="","",F237*$C$5/$C$7)</f>
        <v/>
      </c>
      <c r="F238" s="43" t="str">
        <f aca="false">IF(A238="","",MAX(0,F237-D238))</f>
        <v/>
      </c>
    </row>
    <row r="239" customFormat="false" ht="15" hidden="false" customHeight="false" outlineLevel="0" collapsed="false">
      <c r="A239" s="22" t="str">
        <f aca="false">IF(228&lt;=$E$5,228,"")</f>
        <v/>
      </c>
      <c r="B239" s="42" t="str">
        <f aca="false">IF(A239="","",IF($C$8="","",EDATE($C$8,(A239-1)*12/$C$7)))</f>
        <v/>
      </c>
      <c r="C239" s="43" t="str">
        <f aca="false">IF(A239="","",$E$4)</f>
        <v/>
      </c>
      <c r="D239" s="43" t="str">
        <f aca="false">IF(A239="","",C239-E239)</f>
        <v/>
      </c>
      <c r="E239" s="43" t="str">
        <f aca="false">IF(A239="","",F238*$C$5/$C$7)</f>
        <v/>
      </c>
      <c r="F239" s="43" t="str">
        <f aca="false">IF(A239="","",MAX(0,F238-D239))</f>
        <v/>
      </c>
    </row>
    <row r="240" customFormat="false" ht="15" hidden="false" customHeight="false" outlineLevel="0" collapsed="false">
      <c r="A240" s="22" t="str">
        <f aca="false">IF(229&lt;=$E$5,229,"")</f>
        <v/>
      </c>
      <c r="B240" s="42" t="str">
        <f aca="false">IF(A240="","",IF($C$8="","",EDATE($C$8,(A240-1)*12/$C$7)))</f>
        <v/>
      </c>
      <c r="C240" s="43" t="str">
        <f aca="false">IF(A240="","",$E$4)</f>
        <v/>
      </c>
      <c r="D240" s="43" t="str">
        <f aca="false">IF(A240="","",C240-E240)</f>
        <v/>
      </c>
      <c r="E240" s="43" t="str">
        <f aca="false">IF(A240="","",F239*$C$5/$C$7)</f>
        <v/>
      </c>
      <c r="F240" s="43" t="str">
        <f aca="false">IF(A240="","",MAX(0,F239-D240))</f>
        <v/>
      </c>
    </row>
    <row r="241" customFormat="false" ht="15" hidden="false" customHeight="false" outlineLevel="0" collapsed="false">
      <c r="A241" s="22" t="str">
        <f aca="false">IF(230&lt;=$E$5,230,"")</f>
        <v/>
      </c>
      <c r="B241" s="42" t="str">
        <f aca="false">IF(A241="","",IF($C$8="","",EDATE($C$8,(A241-1)*12/$C$7)))</f>
        <v/>
      </c>
      <c r="C241" s="43" t="str">
        <f aca="false">IF(A241="","",$E$4)</f>
        <v/>
      </c>
      <c r="D241" s="43" t="str">
        <f aca="false">IF(A241="","",C241-E241)</f>
        <v/>
      </c>
      <c r="E241" s="43" t="str">
        <f aca="false">IF(A241="","",F240*$C$5/$C$7)</f>
        <v/>
      </c>
      <c r="F241" s="43" t="str">
        <f aca="false">IF(A241="","",MAX(0,F240-D241))</f>
        <v/>
      </c>
    </row>
    <row r="242" customFormat="false" ht="15" hidden="false" customHeight="false" outlineLevel="0" collapsed="false">
      <c r="A242" s="22" t="str">
        <f aca="false">IF(231&lt;=$E$5,231,"")</f>
        <v/>
      </c>
      <c r="B242" s="42" t="str">
        <f aca="false">IF(A242="","",IF($C$8="","",EDATE($C$8,(A242-1)*12/$C$7)))</f>
        <v/>
      </c>
      <c r="C242" s="43" t="str">
        <f aca="false">IF(A242="","",$E$4)</f>
        <v/>
      </c>
      <c r="D242" s="43" t="str">
        <f aca="false">IF(A242="","",C242-E242)</f>
        <v/>
      </c>
      <c r="E242" s="43" t="str">
        <f aca="false">IF(A242="","",F241*$C$5/$C$7)</f>
        <v/>
      </c>
      <c r="F242" s="43" t="str">
        <f aca="false">IF(A242="","",MAX(0,F241-D242))</f>
        <v/>
      </c>
    </row>
    <row r="243" customFormat="false" ht="15" hidden="false" customHeight="false" outlineLevel="0" collapsed="false">
      <c r="A243" s="22" t="str">
        <f aca="false">IF(232&lt;=$E$5,232,"")</f>
        <v/>
      </c>
      <c r="B243" s="42" t="str">
        <f aca="false">IF(A243="","",IF($C$8="","",EDATE($C$8,(A243-1)*12/$C$7)))</f>
        <v/>
      </c>
      <c r="C243" s="43" t="str">
        <f aca="false">IF(A243="","",$E$4)</f>
        <v/>
      </c>
      <c r="D243" s="43" t="str">
        <f aca="false">IF(A243="","",C243-E243)</f>
        <v/>
      </c>
      <c r="E243" s="43" t="str">
        <f aca="false">IF(A243="","",F242*$C$5/$C$7)</f>
        <v/>
      </c>
      <c r="F243" s="43" t="str">
        <f aca="false">IF(A243="","",MAX(0,F242-D243))</f>
        <v/>
      </c>
    </row>
    <row r="244" customFormat="false" ht="15" hidden="false" customHeight="false" outlineLevel="0" collapsed="false">
      <c r="A244" s="22" t="str">
        <f aca="false">IF(233&lt;=$E$5,233,"")</f>
        <v/>
      </c>
      <c r="B244" s="42" t="str">
        <f aca="false">IF(A244="","",IF($C$8="","",EDATE($C$8,(A244-1)*12/$C$7)))</f>
        <v/>
      </c>
      <c r="C244" s="43" t="str">
        <f aca="false">IF(A244="","",$E$4)</f>
        <v/>
      </c>
      <c r="D244" s="43" t="str">
        <f aca="false">IF(A244="","",C244-E244)</f>
        <v/>
      </c>
      <c r="E244" s="43" t="str">
        <f aca="false">IF(A244="","",F243*$C$5/$C$7)</f>
        <v/>
      </c>
      <c r="F244" s="43" t="str">
        <f aca="false">IF(A244="","",MAX(0,F243-D244))</f>
        <v/>
      </c>
    </row>
    <row r="245" customFormat="false" ht="15" hidden="false" customHeight="false" outlineLevel="0" collapsed="false">
      <c r="A245" s="22" t="str">
        <f aca="false">IF(234&lt;=$E$5,234,"")</f>
        <v/>
      </c>
      <c r="B245" s="42" t="str">
        <f aca="false">IF(A245="","",IF($C$8="","",EDATE($C$8,(A245-1)*12/$C$7)))</f>
        <v/>
      </c>
      <c r="C245" s="43" t="str">
        <f aca="false">IF(A245="","",$E$4)</f>
        <v/>
      </c>
      <c r="D245" s="43" t="str">
        <f aca="false">IF(A245="","",C245-E245)</f>
        <v/>
      </c>
      <c r="E245" s="43" t="str">
        <f aca="false">IF(A245="","",F244*$C$5/$C$7)</f>
        <v/>
      </c>
      <c r="F245" s="43" t="str">
        <f aca="false">IF(A245="","",MAX(0,F244-D245))</f>
        <v/>
      </c>
    </row>
    <row r="246" customFormat="false" ht="15" hidden="false" customHeight="false" outlineLevel="0" collapsed="false">
      <c r="A246" s="22" t="str">
        <f aca="false">IF(235&lt;=$E$5,235,"")</f>
        <v/>
      </c>
      <c r="B246" s="42" t="str">
        <f aca="false">IF(A246="","",IF($C$8="","",EDATE($C$8,(A246-1)*12/$C$7)))</f>
        <v/>
      </c>
      <c r="C246" s="43" t="str">
        <f aca="false">IF(A246="","",$E$4)</f>
        <v/>
      </c>
      <c r="D246" s="43" t="str">
        <f aca="false">IF(A246="","",C246-E246)</f>
        <v/>
      </c>
      <c r="E246" s="43" t="str">
        <f aca="false">IF(A246="","",F245*$C$5/$C$7)</f>
        <v/>
      </c>
      <c r="F246" s="43" t="str">
        <f aca="false">IF(A246="","",MAX(0,F245-D246))</f>
        <v/>
      </c>
    </row>
    <row r="247" customFormat="false" ht="15" hidden="false" customHeight="false" outlineLevel="0" collapsed="false">
      <c r="A247" s="22" t="str">
        <f aca="false">IF(236&lt;=$E$5,236,"")</f>
        <v/>
      </c>
      <c r="B247" s="42" t="str">
        <f aca="false">IF(A247="","",IF($C$8="","",EDATE($C$8,(A247-1)*12/$C$7)))</f>
        <v/>
      </c>
      <c r="C247" s="43" t="str">
        <f aca="false">IF(A247="","",$E$4)</f>
        <v/>
      </c>
      <c r="D247" s="43" t="str">
        <f aca="false">IF(A247="","",C247-E247)</f>
        <v/>
      </c>
      <c r="E247" s="43" t="str">
        <f aca="false">IF(A247="","",F246*$C$5/$C$7)</f>
        <v/>
      </c>
      <c r="F247" s="43" t="str">
        <f aca="false">IF(A247="","",MAX(0,F246-D247))</f>
        <v/>
      </c>
    </row>
    <row r="248" customFormat="false" ht="15" hidden="false" customHeight="false" outlineLevel="0" collapsed="false">
      <c r="A248" s="22" t="str">
        <f aca="false">IF(237&lt;=$E$5,237,"")</f>
        <v/>
      </c>
      <c r="B248" s="42" t="str">
        <f aca="false">IF(A248="","",IF($C$8="","",EDATE($C$8,(A248-1)*12/$C$7)))</f>
        <v/>
      </c>
      <c r="C248" s="43" t="str">
        <f aca="false">IF(A248="","",$E$4)</f>
        <v/>
      </c>
      <c r="D248" s="43" t="str">
        <f aca="false">IF(A248="","",C248-E248)</f>
        <v/>
      </c>
      <c r="E248" s="43" t="str">
        <f aca="false">IF(A248="","",F247*$C$5/$C$7)</f>
        <v/>
      </c>
      <c r="F248" s="43" t="str">
        <f aca="false">IF(A248="","",MAX(0,F247-D248))</f>
        <v/>
      </c>
    </row>
    <row r="249" customFormat="false" ht="15" hidden="false" customHeight="false" outlineLevel="0" collapsed="false">
      <c r="A249" s="22" t="str">
        <f aca="false">IF(238&lt;=$E$5,238,"")</f>
        <v/>
      </c>
      <c r="B249" s="42" t="str">
        <f aca="false">IF(A249="","",IF($C$8="","",EDATE($C$8,(A249-1)*12/$C$7)))</f>
        <v/>
      </c>
      <c r="C249" s="43" t="str">
        <f aca="false">IF(A249="","",$E$4)</f>
        <v/>
      </c>
      <c r="D249" s="43" t="str">
        <f aca="false">IF(A249="","",C249-E249)</f>
        <v/>
      </c>
      <c r="E249" s="43" t="str">
        <f aca="false">IF(A249="","",F248*$C$5/$C$7)</f>
        <v/>
      </c>
      <c r="F249" s="43" t="str">
        <f aca="false">IF(A249="","",MAX(0,F248-D249))</f>
        <v/>
      </c>
    </row>
    <row r="250" customFormat="false" ht="15" hidden="false" customHeight="false" outlineLevel="0" collapsed="false">
      <c r="A250" s="22" t="str">
        <f aca="false">IF(239&lt;=$E$5,239,"")</f>
        <v/>
      </c>
      <c r="B250" s="42" t="str">
        <f aca="false">IF(A250="","",IF($C$8="","",EDATE($C$8,(A250-1)*12/$C$7)))</f>
        <v/>
      </c>
      <c r="C250" s="43" t="str">
        <f aca="false">IF(A250="","",$E$4)</f>
        <v/>
      </c>
      <c r="D250" s="43" t="str">
        <f aca="false">IF(A250="","",C250-E250)</f>
        <v/>
      </c>
      <c r="E250" s="43" t="str">
        <f aca="false">IF(A250="","",F249*$C$5/$C$7)</f>
        <v/>
      </c>
      <c r="F250" s="43" t="str">
        <f aca="false">IF(A250="","",MAX(0,F249-D250))</f>
        <v/>
      </c>
    </row>
    <row r="251" customFormat="false" ht="15" hidden="false" customHeight="false" outlineLevel="0" collapsed="false">
      <c r="A251" s="22" t="str">
        <f aca="false">IF(240&lt;=$E$5,240,"")</f>
        <v/>
      </c>
      <c r="B251" s="42" t="str">
        <f aca="false">IF(A251="","",IF($C$8="","",EDATE($C$8,(A251-1)*12/$C$7)))</f>
        <v/>
      </c>
      <c r="C251" s="43" t="str">
        <f aca="false">IF(A251="","",$E$4)</f>
        <v/>
      </c>
      <c r="D251" s="43" t="str">
        <f aca="false">IF(A251="","",C251-E251)</f>
        <v/>
      </c>
      <c r="E251" s="43" t="str">
        <f aca="false">IF(A251="","",F250*$C$5/$C$7)</f>
        <v/>
      </c>
      <c r="F251" s="43" t="str">
        <f aca="false">IF(A251="","",MAX(0,F250-D251))</f>
        <v/>
      </c>
    </row>
    <row r="252" customFormat="false" ht="15" hidden="false" customHeight="false" outlineLevel="0" collapsed="false">
      <c r="A252" s="22" t="str">
        <f aca="false">IF(241&lt;=$E$5,241,"")</f>
        <v/>
      </c>
      <c r="B252" s="42" t="str">
        <f aca="false">IF(A252="","",IF($C$8="","",EDATE($C$8,(A252-1)*12/$C$7)))</f>
        <v/>
      </c>
      <c r="C252" s="43" t="str">
        <f aca="false">IF(A252="","",$E$4)</f>
        <v/>
      </c>
      <c r="D252" s="43" t="str">
        <f aca="false">IF(A252="","",C252-E252)</f>
        <v/>
      </c>
      <c r="E252" s="43" t="str">
        <f aca="false">IF(A252="","",F251*$C$5/$C$7)</f>
        <v/>
      </c>
      <c r="F252" s="43" t="str">
        <f aca="false">IF(A252="","",MAX(0,F251-D252))</f>
        <v/>
      </c>
    </row>
    <row r="253" customFormat="false" ht="15" hidden="false" customHeight="false" outlineLevel="0" collapsed="false">
      <c r="A253" s="22" t="str">
        <f aca="false">IF(242&lt;=$E$5,242,"")</f>
        <v/>
      </c>
      <c r="B253" s="42" t="str">
        <f aca="false">IF(A253="","",IF($C$8="","",EDATE($C$8,(A253-1)*12/$C$7)))</f>
        <v/>
      </c>
      <c r="C253" s="43" t="str">
        <f aca="false">IF(A253="","",$E$4)</f>
        <v/>
      </c>
      <c r="D253" s="43" t="str">
        <f aca="false">IF(A253="","",C253-E253)</f>
        <v/>
      </c>
      <c r="E253" s="43" t="str">
        <f aca="false">IF(A253="","",F252*$C$5/$C$7)</f>
        <v/>
      </c>
      <c r="F253" s="43" t="str">
        <f aca="false">IF(A253="","",MAX(0,F252-D253))</f>
        <v/>
      </c>
    </row>
    <row r="254" customFormat="false" ht="15" hidden="false" customHeight="false" outlineLevel="0" collapsed="false">
      <c r="A254" s="22" t="str">
        <f aca="false">IF(243&lt;=$E$5,243,"")</f>
        <v/>
      </c>
      <c r="B254" s="42" t="str">
        <f aca="false">IF(A254="","",IF($C$8="","",EDATE($C$8,(A254-1)*12/$C$7)))</f>
        <v/>
      </c>
      <c r="C254" s="43" t="str">
        <f aca="false">IF(A254="","",$E$4)</f>
        <v/>
      </c>
      <c r="D254" s="43" t="str">
        <f aca="false">IF(A254="","",C254-E254)</f>
        <v/>
      </c>
      <c r="E254" s="43" t="str">
        <f aca="false">IF(A254="","",F253*$C$5/$C$7)</f>
        <v/>
      </c>
      <c r="F254" s="43" t="str">
        <f aca="false">IF(A254="","",MAX(0,F253-D254))</f>
        <v/>
      </c>
    </row>
    <row r="255" customFormat="false" ht="15" hidden="false" customHeight="false" outlineLevel="0" collapsed="false">
      <c r="A255" s="22" t="str">
        <f aca="false">IF(244&lt;=$E$5,244,"")</f>
        <v/>
      </c>
      <c r="B255" s="42" t="str">
        <f aca="false">IF(A255="","",IF($C$8="","",EDATE($C$8,(A255-1)*12/$C$7)))</f>
        <v/>
      </c>
      <c r="C255" s="43" t="str">
        <f aca="false">IF(A255="","",$E$4)</f>
        <v/>
      </c>
      <c r="D255" s="43" t="str">
        <f aca="false">IF(A255="","",C255-E255)</f>
        <v/>
      </c>
      <c r="E255" s="43" t="str">
        <f aca="false">IF(A255="","",F254*$C$5/$C$7)</f>
        <v/>
      </c>
      <c r="F255" s="43" t="str">
        <f aca="false">IF(A255="","",MAX(0,F254-D255))</f>
        <v/>
      </c>
    </row>
    <row r="256" customFormat="false" ht="15" hidden="false" customHeight="false" outlineLevel="0" collapsed="false">
      <c r="A256" s="22" t="str">
        <f aca="false">IF(245&lt;=$E$5,245,"")</f>
        <v/>
      </c>
      <c r="B256" s="42" t="str">
        <f aca="false">IF(A256="","",IF($C$8="","",EDATE($C$8,(A256-1)*12/$C$7)))</f>
        <v/>
      </c>
      <c r="C256" s="43" t="str">
        <f aca="false">IF(A256="","",$E$4)</f>
        <v/>
      </c>
      <c r="D256" s="43" t="str">
        <f aca="false">IF(A256="","",C256-E256)</f>
        <v/>
      </c>
      <c r="E256" s="43" t="str">
        <f aca="false">IF(A256="","",F255*$C$5/$C$7)</f>
        <v/>
      </c>
      <c r="F256" s="43" t="str">
        <f aca="false">IF(A256="","",MAX(0,F255-D256))</f>
        <v/>
      </c>
    </row>
    <row r="257" customFormat="false" ht="15" hidden="false" customHeight="false" outlineLevel="0" collapsed="false">
      <c r="A257" s="22" t="str">
        <f aca="false">IF(246&lt;=$E$5,246,"")</f>
        <v/>
      </c>
      <c r="B257" s="42" t="str">
        <f aca="false">IF(A257="","",IF($C$8="","",EDATE($C$8,(A257-1)*12/$C$7)))</f>
        <v/>
      </c>
      <c r="C257" s="43" t="str">
        <f aca="false">IF(A257="","",$E$4)</f>
        <v/>
      </c>
      <c r="D257" s="43" t="str">
        <f aca="false">IF(A257="","",C257-E257)</f>
        <v/>
      </c>
      <c r="E257" s="43" t="str">
        <f aca="false">IF(A257="","",F256*$C$5/$C$7)</f>
        <v/>
      </c>
      <c r="F257" s="43" t="str">
        <f aca="false">IF(A257="","",MAX(0,F256-D257))</f>
        <v/>
      </c>
    </row>
    <row r="258" customFormat="false" ht="15" hidden="false" customHeight="false" outlineLevel="0" collapsed="false">
      <c r="A258" s="22" t="str">
        <f aca="false">IF(247&lt;=$E$5,247,"")</f>
        <v/>
      </c>
      <c r="B258" s="42" t="str">
        <f aca="false">IF(A258="","",IF($C$8="","",EDATE($C$8,(A258-1)*12/$C$7)))</f>
        <v/>
      </c>
      <c r="C258" s="43" t="str">
        <f aca="false">IF(A258="","",$E$4)</f>
        <v/>
      </c>
      <c r="D258" s="43" t="str">
        <f aca="false">IF(A258="","",C258-E258)</f>
        <v/>
      </c>
      <c r="E258" s="43" t="str">
        <f aca="false">IF(A258="","",F257*$C$5/$C$7)</f>
        <v/>
      </c>
      <c r="F258" s="43" t="str">
        <f aca="false">IF(A258="","",MAX(0,F257-D258))</f>
        <v/>
      </c>
    </row>
    <row r="259" customFormat="false" ht="15" hidden="false" customHeight="false" outlineLevel="0" collapsed="false">
      <c r="A259" s="22" t="str">
        <f aca="false">IF(248&lt;=$E$5,248,"")</f>
        <v/>
      </c>
      <c r="B259" s="42" t="str">
        <f aca="false">IF(A259="","",IF($C$8="","",EDATE($C$8,(A259-1)*12/$C$7)))</f>
        <v/>
      </c>
      <c r="C259" s="43" t="str">
        <f aca="false">IF(A259="","",$E$4)</f>
        <v/>
      </c>
      <c r="D259" s="43" t="str">
        <f aca="false">IF(A259="","",C259-E259)</f>
        <v/>
      </c>
      <c r="E259" s="43" t="str">
        <f aca="false">IF(A259="","",F258*$C$5/$C$7)</f>
        <v/>
      </c>
      <c r="F259" s="43" t="str">
        <f aca="false">IF(A259="","",MAX(0,F258-D259))</f>
        <v/>
      </c>
    </row>
    <row r="260" customFormat="false" ht="15" hidden="false" customHeight="false" outlineLevel="0" collapsed="false">
      <c r="A260" s="22" t="str">
        <f aca="false">IF(249&lt;=$E$5,249,"")</f>
        <v/>
      </c>
      <c r="B260" s="42" t="str">
        <f aca="false">IF(A260="","",IF($C$8="","",EDATE($C$8,(A260-1)*12/$C$7)))</f>
        <v/>
      </c>
      <c r="C260" s="43" t="str">
        <f aca="false">IF(A260="","",$E$4)</f>
        <v/>
      </c>
      <c r="D260" s="43" t="str">
        <f aca="false">IF(A260="","",C260-E260)</f>
        <v/>
      </c>
      <c r="E260" s="43" t="str">
        <f aca="false">IF(A260="","",F259*$C$5/$C$7)</f>
        <v/>
      </c>
      <c r="F260" s="43" t="str">
        <f aca="false">IF(A260="","",MAX(0,F259-D260))</f>
        <v/>
      </c>
    </row>
    <row r="261" customFormat="false" ht="15" hidden="false" customHeight="false" outlineLevel="0" collapsed="false">
      <c r="A261" s="22" t="str">
        <f aca="false">IF(250&lt;=$E$5,250,"")</f>
        <v/>
      </c>
      <c r="B261" s="42" t="str">
        <f aca="false">IF(A261="","",IF($C$8="","",EDATE($C$8,(A261-1)*12/$C$7)))</f>
        <v/>
      </c>
      <c r="C261" s="43" t="str">
        <f aca="false">IF(A261="","",$E$4)</f>
        <v/>
      </c>
      <c r="D261" s="43" t="str">
        <f aca="false">IF(A261="","",C261-E261)</f>
        <v/>
      </c>
      <c r="E261" s="43" t="str">
        <f aca="false">IF(A261="","",F260*$C$5/$C$7)</f>
        <v/>
      </c>
      <c r="F261" s="43" t="str">
        <f aca="false">IF(A261="","",MAX(0,F260-D261))</f>
        <v/>
      </c>
    </row>
    <row r="262" customFormat="false" ht="15" hidden="false" customHeight="false" outlineLevel="0" collapsed="false">
      <c r="A262" s="22" t="str">
        <f aca="false">IF(251&lt;=$E$5,251,"")</f>
        <v/>
      </c>
      <c r="B262" s="42" t="str">
        <f aca="false">IF(A262="","",IF($C$8="","",EDATE($C$8,(A262-1)*12/$C$7)))</f>
        <v/>
      </c>
      <c r="C262" s="43" t="str">
        <f aca="false">IF(A262="","",$E$4)</f>
        <v/>
      </c>
      <c r="D262" s="43" t="str">
        <f aca="false">IF(A262="","",C262-E262)</f>
        <v/>
      </c>
      <c r="E262" s="43" t="str">
        <f aca="false">IF(A262="","",F261*$C$5/$C$7)</f>
        <v/>
      </c>
      <c r="F262" s="43" t="str">
        <f aca="false">IF(A262="","",MAX(0,F261-D262))</f>
        <v/>
      </c>
    </row>
    <row r="263" customFormat="false" ht="15" hidden="false" customHeight="false" outlineLevel="0" collapsed="false">
      <c r="A263" s="22" t="str">
        <f aca="false">IF(252&lt;=$E$5,252,"")</f>
        <v/>
      </c>
      <c r="B263" s="42" t="str">
        <f aca="false">IF(A263="","",IF($C$8="","",EDATE($C$8,(A263-1)*12/$C$7)))</f>
        <v/>
      </c>
      <c r="C263" s="43" t="str">
        <f aca="false">IF(A263="","",$E$4)</f>
        <v/>
      </c>
      <c r="D263" s="43" t="str">
        <f aca="false">IF(A263="","",C263-E263)</f>
        <v/>
      </c>
      <c r="E263" s="43" t="str">
        <f aca="false">IF(A263="","",F262*$C$5/$C$7)</f>
        <v/>
      </c>
      <c r="F263" s="43" t="str">
        <f aca="false">IF(A263="","",MAX(0,F262-D263))</f>
        <v/>
      </c>
    </row>
    <row r="264" customFormat="false" ht="15" hidden="false" customHeight="false" outlineLevel="0" collapsed="false">
      <c r="A264" s="22" t="str">
        <f aca="false">IF(253&lt;=$E$5,253,"")</f>
        <v/>
      </c>
      <c r="B264" s="42" t="str">
        <f aca="false">IF(A264="","",IF($C$8="","",EDATE($C$8,(A264-1)*12/$C$7)))</f>
        <v/>
      </c>
      <c r="C264" s="43" t="str">
        <f aca="false">IF(A264="","",$E$4)</f>
        <v/>
      </c>
      <c r="D264" s="43" t="str">
        <f aca="false">IF(A264="","",C264-E264)</f>
        <v/>
      </c>
      <c r="E264" s="43" t="str">
        <f aca="false">IF(A264="","",F263*$C$5/$C$7)</f>
        <v/>
      </c>
      <c r="F264" s="43" t="str">
        <f aca="false">IF(A264="","",MAX(0,F263-D264))</f>
        <v/>
      </c>
    </row>
    <row r="265" customFormat="false" ht="15" hidden="false" customHeight="false" outlineLevel="0" collapsed="false">
      <c r="A265" s="22" t="str">
        <f aca="false">IF(254&lt;=$E$5,254,"")</f>
        <v/>
      </c>
      <c r="B265" s="42" t="str">
        <f aca="false">IF(A265="","",IF($C$8="","",EDATE($C$8,(A265-1)*12/$C$7)))</f>
        <v/>
      </c>
      <c r="C265" s="43" t="str">
        <f aca="false">IF(A265="","",$E$4)</f>
        <v/>
      </c>
      <c r="D265" s="43" t="str">
        <f aca="false">IF(A265="","",C265-E265)</f>
        <v/>
      </c>
      <c r="E265" s="43" t="str">
        <f aca="false">IF(A265="","",F264*$C$5/$C$7)</f>
        <v/>
      </c>
      <c r="F265" s="43" t="str">
        <f aca="false">IF(A265="","",MAX(0,F264-D265))</f>
        <v/>
      </c>
    </row>
    <row r="266" customFormat="false" ht="15" hidden="false" customHeight="false" outlineLevel="0" collapsed="false">
      <c r="A266" s="22" t="str">
        <f aca="false">IF(255&lt;=$E$5,255,"")</f>
        <v/>
      </c>
      <c r="B266" s="42" t="str">
        <f aca="false">IF(A266="","",IF($C$8="","",EDATE($C$8,(A266-1)*12/$C$7)))</f>
        <v/>
      </c>
      <c r="C266" s="43" t="str">
        <f aca="false">IF(A266="","",$E$4)</f>
        <v/>
      </c>
      <c r="D266" s="43" t="str">
        <f aca="false">IF(A266="","",C266-E266)</f>
        <v/>
      </c>
      <c r="E266" s="43" t="str">
        <f aca="false">IF(A266="","",F265*$C$5/$C$7)</f>
        <v/>
      </c>
      <c r="F266" s="43" t="str">
        <f aca="false">IF(A266="","",MAX(0,F265-D266))</f>
        <v/>
      </c>
    </row>
    <row r="267" customFormat="false" ht="15" hidden="false" customHeight="false" outlineLevel="0" collapsed="false">
      <c r="A267" s="22" t="str">
        <f aca="false">IF(256&lt;=$E$5,256,"")</f>
        <v/>
      </c>
      <c r="B267" s="42" t="str">
        <f aca="false">IF(A267="","",IF($C$8="","",EDATE($C$8,(A267-1)*12/$C$7)))</f>
        <v/>
      </c>
      <c r="C267" s="43" t="str">
        <f aca="false">IF(A267="","",$E$4)</f>
        <v/>
      </c>
      <c r="D267" s="43" t="str">
        <f aca="false">IF(A267="","",C267-E267)</f>
        <v/>
      </c>
      <c r="E267" s="43" t="str">
        <f aca="false">IF(A267="","",F266*$C$5/$C$7)</f>
        <v/>
      </c>
      <c r="F267" s="43" t="str">
        <f aca="false">IF(A267="","",MAX(0,F266-D267))</f>
        <v/>
      </c>
    </row>
    <row r="268" customFormat="false" ht="15" hidden="false" customHeight="false" outlineLevel="0" collapsed="false">
      <c r="A268" s="22" t="str">
        <f aca="false">IF(257&lt;=$E$5,257,"")</f>
        <v/>
      </c>
      <c r="B268" s="42" t="str">
        <f aca="false">IF(A268="","",IF($C$8="","",EDATE($C$8,(A268-1)*12/$C$7)))</f>
        <v/>
      </c>
      <c r="C268" s="43" t="str">
        <f aca="false">IF(A268="","",$E$4)</f>
        <v/>
      </c>
      <c r="D268" s="43" t="str">
        <f aca="false">IF(A268="","",C268-E268)</f>
        <v/>
      </c>
      <c r="E268" s="43" t="str">
        <f aca="false">IF(A268="","",F267*$C$5/$C$7)</f>
        <v/>
      </c>
      <c r="F268" s="43" t="str">
        <f aca="false">IF(A268="","",MAX(0,F267-D268))</f>
        <v/>
      </c>
    </row>
    <row r="269" customFormat="false" ht="15" hidden="false" customHeight="false" outlineLevel="0" collapsed="false">
      <c r="A269" s="22" t="str">
        <f aca="false">IF(258&lt;=$E$5,258,"")</f>
        <v/>
      </c>
      <c r="B269" s="42" t="str">
        <f aca="false">IF(A269="","",IF($C$8="","",EDATE($C$8,(A269-1)*12/$C$7)))</f>
        <v/>
      </c>
      <c r="C269" s="43" t="str">
        <f aca="false">IF(A269="","",$E$4)</f>
        <v/>
      </c>
      <c r="D269" s="43" t="str">
        <f aca="false">IF(A269="","",C269-E269)</f>
        <v/>
      </c>
      <c r="E269" s="43" t="str">
        <f aca="false">IF(A269="","",F268*$C$5/$C$7)</f>
        <v/>
      </c>
      <c r="F269" s="43" t="str">
        <f aca="false">IF(A269="","",MAX(0,F268-D269))</f>
        <v/>
      </c>
    </row>
    <row r="270" customFormat="false" ht="15" hidden="false" customHeight="false" outlineLevel="0" collapsed="false">
      <c r="A270" s="22" t="str">
        <f aca="false">IF(259&lt;=$E$5,259,"")</f>
        <v/>
      </c>
      <c r="B270" s="42" t="str">
        <f aca="false">IF(A270="","",IF($C$8="","",EDATE($C$8,(A270-1)*12/$C$7)))</f>
        <v/>
      </c>
      <c r="C270" s="43" t="str">
        <f aca="false">IF(A270="","",$E$4)</f>
        <v/>
      </c>
      <c r="D270" s="43" t="str">
        <f aca="false">IF(A270="","",C270-E270)</f>
        <v/>
      </c>
      <c r="E270" s="43" t="str">
        <f aca="false">IF(A270="","",F269*$C$5/$C$7)</f>
        <v/>
      </c>
      <c r="F270" s="43" t="str">
        <f aca="false">IF(A270="","",MAX(0,F269-D270))</f>
        <v/>
      </c>
    </row>
    <row r="271" customFormat="false" ht="15" hidden="false" customHeight="false" outlineLevel="0" collapsed="false">
      <c r="A271" s="22" t="str">
        <f aca="false">IF(260&lt;=$E$5,260,"")</f>
        <v/>
      </c>
      <c r="B271" s="42" t="str">
        <f aca="false">IF(A271="","",IF($C$8="","",EDATE($C$8,(A271-1)*12/$C$7)))</f>
        <v/>
      </c>
      <c r="C271" s="43" t="str">
        <f aca="false">IF(A271="","",$E$4)</f>
        <v/>
      </c>
      <c r="D271" s="43" t="str">
        <f aca="false">IF(A271="","",C271-E271)</f>
        <v/>
      </c>
      <c r="E271" s="43" t="str">
        <f aca="false">IF(A271="","",F270*$C$5/$C$7)</f>
        <v/>
      </c>
      <c r="F271" s="43" t="str">
        <f aca="false">IF(A271="","",MAX(0,F270-D271))</f>
        <v/>
      </c>
    </row>
    <row r="272" customFormat="false" ht="15" hidden="false" customHeight="false" outlineLevel="0" collapsed="false">
      <c r="A272" s="22" t="str">
        <f aca="false">IF(261&lt;=$E$5,261,"")</f>
        <v/>
      </c>
      <c r="B272" s="42" t="str">
        <f aca="false">IF(A272="","",IF($C$8="","",EDATE($C$8,(A272-1)*12/$C$7)))</f>
        <v/>
      </c>
      <c r="C272" s="43" t="str">
        <f aca="false">IF(A272="","",$E$4)</f>
        <v/>
      </c>
      <c r="D272" s="43" t="str">
        <f aca="false">IF(A272="","",C272-E272)</f>
        <v/>
      </c>
      <c r="E272" s="43" t="str">
        <f aca="false">IF(A272="","",F271*$C$5/$C$7)</f>
        <v/>
      </c>
      <c r="F272" s="43" t="str">
        <f aca="false">IF(A272="","",MAX(0,F271-D272))</f>
        <v/>
      </c>
    </row>
    <row r="273" customFormat="false" ht="15" hidden="false" customHeight="false" outlineLevel="0" collapsed="false">
      <c r="A273" s="22" t="str">
        <f aca="false">IF(262&lt;=$E$5,262,"")</f>
        <v/>
      </c>
      <c r="B273" s="42" t="str">
        <f aca="false">IF(A273="","",IF($C$8="","",EDATE($C$8,(A273-1)*12/$C$7)))</f>
        <v/>
      </c>
      <c r="C273" s="43" t="str">
        <f aca="false">IF(A273="","",$E$4)</f>
        <v/>
      </c>
      <c r="D273" s="43" t="str">
        <f aca="false">IF(A273="","",C273-E273)</f>
        <v/>
      </c>
      <c r="E273" s="43" t="str">
        <f aca="false">IF(A273="","",F272*$C$5/$C$7)</f>
        <v/>
      </c>
      <c r="F273" s="43" t="str">
        <f aca="false">IF(A273="","",MAX(0,F272-D273))</f>
        <v/>
      </c>
    </row>
    <row r="274" customFormat="false" ht="15" hidden="false" customHeight="false" outlineLevel="0" collapsed="false">
      <c r="A274" s="22" t="str">
        <f aca="false">IF(263&lt;=$E$5,263,"")</f>
        <v/>
      </c>
      <c r="B274" s="42" t="str">
        <f aca="false">IF(A274="","",IF($C$8="","",EDATE($C$8,(A274-1)*12/$C$7)))</f>
        <v/>
      </c>
      <c r="C274" s="43" t="str">
        <f aca="false">IF(A274="","",$E$4)</f>
        <v/>
      </c>
      <c r="D274" s="43" t="str">
        <f aca="false">IF(A274="","",C274-E274)</f>
        <v/>
      </c>
      <c r="E274" s="43" t="str">
        <f aca="false">IF(A274="","",F273*$C$5/$C$7)</f>
        <v/>
      </c>
      <c r="F274" s="43" t="str">
        <f aca="false">IF(A274="","",MAX(0,F273-D274))</f>
        <v/>
      </c>
    </row>
    <row r="275" customFormat="false" ht="15" hidden="false" customHeight="false" outlineLevel="0" collapsed="false">
      <c r="A275" s="22" t="str">
        <f aca="false">IF(264&lt;=$E$5,264,"")</f>
        <v/>
      </c>
      <c r="B275" s="42" t="str">
        <f aca="false">IF(A275="","",IF($C$8="","",EDATE($C$8,(A275-1)*12/$C$7)))</f>
        <v/>
      </c>
      <c r="C275" s="43" t="str">
        <f aca="false">IF(A275="","",$E$4)</f>
        <v/>
      </c>
      <c r="D275" s="43" t="str">
        <f aca="false">IF(A275="","",C275-E275)</f>
        <v/>
      </c>
      <c r="E275" s="43" t="str">
        <f aca="false">IF(A275="","",F274*$C$5/$C$7)</f>
        <v/>
      </c>
      <c r="F275" s="43" t="str">
        <f aca="false">IF(A275="","",MAX(0,F274-D275))</f>
        <v/>
      </c>
    </row>
    <row r="276" customFormat="false" ht="15" hidden="false" customHeight="false" outlineLevel="0" collapsed="false">
      <c r="A276" s="22" t="str">
        <f aca="false">IF(265&lt;=$E$5,265,"")</f>
        <v/>
      </c>
      <c r="B276" s="42" t="str">
        <f aca="false">IF(A276="","",IF($C$8="","",EDATE($C$8,(A276-1)*12/$C$7)))</f>
        <v/>
      </c>
      <c r="C276" s="43" t="str">
        <f aca="false">IF(A276="","",$E$4)</f>
        <v/>
      </c>
      <c r="D276" s="43" t="str">
        <f aca="false">IF(A276="","",C276-E276)</f>
        <v/>
      </c>
      <c r="E276" s="43" t="str">
        <f aca="false">IF(A276="","",F275*$C$5/$C$7)</f>
        <v/>
      </c>
      <c r="F276" s="43" t="str">
        <f aca="false">IF(A276="","",MAX(0,F275-D276))</f>
        <v/>
      </c>
    </row>
    <row r="277" customFormat="false" ht="15" hidden="false" customHeight="false" outlineLevel="0" collapsed="false">
      <c r="A277" s="22" t="str">
        <f aca="false">IF(266&lt;=$E$5,266,"")</f>
        <v/>
      </c>
      <c r="B277" s="42" t="str">
        <f aca="false">IF(A277="","",IF($C$8="","",EDATE($C$8,(A277-1)*12/$C$7)))</f>
        <v/>
      </c>
      <c r="C277" s="43" t="str">
        <f aca="false">IF(A277="","",$E$4)</f>
        <v/>
      </c>
      <c r="D277" s="43" t="str">
        <f aca="false">IF(A277="","",C277-E277)</f>
        <v/>
      </c>
      <c r="E277" s="43" t="str">
        <f aca="false">IF(A277="","",F276*$C$5/$C$7)</f>
        <v/>
      </c>
      <c r="F277" s="43" t="str">
        <f aca="false">IF(A277="","",MAX(0,F276-D277))</f>
        <v/>
      </c>
    </row>
    <row r="278" customFormat="false" ht="15" hidden="false" customHeight="false" outlineLevel="0" collapsed="false">
      <c r="A278" s="22" t="str">
        <f aca="false">IF(267&lt;=$E$5,267,"")</f>
        <v/>
      </c>
      <c r="B278" s="42" t="str">
        <f aca="false">IF(A278="","",IF($C$8="","",EDATE($C$8,(A278-1)*12/$C$7)))</f>
        <v/>
      </c>
      <c r="C278" s="43" t="str">
        <f aca="false">IF(A278="","",$E$4)</f>
        <v/>
      </c>
      <c r="D278" s="43" t="str">
        <f aca="false">IF(A278="","",C278-E278)</f>
        <v/>
      </c>
      <c r="E278" s="43" t="str">
        <f aca="false">IF(A278="","",F277*$C$5/$C$7)</f>
        <v/>
      </c>
      <c r="F278" s="43" t="str">
        <f aca="false">IF(A278="","",MAX(0,F277-D278))</f>
        <v/>
      </c>
    </row>
    <row r="279" customFormat="false" ht="15" hidden="false" customHeight="false" outlineLevel="0" collapsed="false">
      <c r="A279" s="22" t="str">
        <f aca="false">IF(268&lt;=$E$5,268,"")</f>
        <v/>
      </c>
      <c r="B279" s="42" t="str">
        <f aca="false">IF(A279="","",IF($C$8="","",EDATE($C$8,(A279-1)*12/$C$7)))</f>
        <v/>
      </c>
      <c r="C279" s="43" t="str">
        <f aca="false">IF(A279="","",$E$4)</f>
        <v/>
      </c>
      <c r="D279" s="43" t="str">
        <f aca="false">IF(A279="","",C279-E279)</f>
        <v/>
      </c>
      <c r="E279" s="43" t="str">
        <f aca="false">IF(A279="","",F278*$C$5/$C$7)</f>
        <v/>
      </c>
      <c r="F279" s="43" t="str">
        <f aca="false">IF(A279="","",MAX(0,F278-D279))</f>
        <v/>
      </c>
    </row>
    <row r="280" customFormat="false" ht="15" hidden="false" customHeight="false" outlineLevel="0" collapsed="false">
      <c r="A280" s="22" t="str">
        <f aca="false">IF(269&lt;=$E$5,269,"")</f>
        <v/>
      </c>
      <c r="B280" s="42" t="str">
        <f aca="false">IF(A280="","",IF($C$8="","",EDATE($C$8,(A280-1)*12/$C$7)))</f>
        <v/>
      </c>
      <c r="C280" s="43" t="str">
        <f aca="false">IF(A280="","",$E$4)</f>
        <v/>
      </c>
      <c r="D280" s="43" t="str">
        <f aca="false">IF(A280="","",C280-E280)</f>
        <v/>
      </c>
      <c r="E280" s="43" t="str">
        <f aca="false">IF(A280="","",F279*$C$5/$C$7)</f>
        <v/>
      </c>
      <c r="F280" s="43" t="str">
        <f aca="false">IF(A280="","",MAX(0,F279-D280))</f>
        <v/>
      </c>
    </row>
    <row r="281" customFormat="false" ht="15" hidden="false" customHeight="false" outlineLevel="0" collapsed="false">
      <c r="A281" s="22" t="str">
        <f aca="false">IF(270&lt;=$E$5,270,"")</f>
        <v/>
      </c>
      <c r="B281" s="42" t="str">
        <f aca="false">IF(A281="","",IF($C$8="","",EDATE($C$8,(A281-1)*12/$C$7)))</f>
        <v/>
      </c>
      <c r="C281" s="43" t="str">
        <f aca="false">IF(A281="","",$E$4)</f>
        <v/>
      </c>
      <c r="D281" s="43" t="str">
        <f aca="false">IF(A281="","",C281-E281)</f>
        <v/>
      </c>
      <c r="E281" s="43" t="str">
        <f aca="false">IF(A281="","",F280*$C$5/$C$7)</f>
        <v/>
      </c>
      <c r="F281" s="43" t="str">
        <f aca="false">IF(A281="","",MAX(0,F280-D281))</f>
        <v/>
      </c>
    </row>
    <row r="282" customFormat="false" ht="15" hidden="false" customHeight="false" outlineLevel="0" collapsed="false">
      <c r="A282" s="22" t="str">
        <f aca="false">IF(271&lt;=$E$5,271,"")</f>
        <v/>
      </c>
      <c r="B282" s="42" t="str">
        <f aca="false">IF(A282="","",IF($C$8="","",EDATE($C$8,(A282-1)*12/$C$7)))</f>
        <v/>
      </c>
      <c r="C282" s="43" t="str">
        <f aca="false">IF(A282="","",$E$4)</f>
        <v/>
      </c>
      <c r="D282" s="43" t="str">
        <f aca="false">IF(A282="","",C282-E282)</f>
        <v/>
      </c>
      <c r="E282" s="43" t="str">
        <f aca="false">IF(A282="","",F281*$C$5/$C$7)</f>
        <v/>
      </c>
      <c r="F282" s="43" t="str">
        <f aca="false">IF(A282="","",MAX(0,F281-D282))</f>
        <v/>
      </c>
    </row>
    <row r="283" customFormat="false" ht="15" hidden="false" customHeight="false" outlineLevel="0" collapsed="false">
      <c r="A283" s="22" t="str">
        <f aca="false">IF(272&lt;=$E$5,272,"")</f>
        <v/>
      </c>
      <c r="B283" s="42" t="str">
        <f aca="false">IF(A283="","",IF($C$8="","",EDATE($C$8,(A283-1)*12/$C$7)))</f>
        <v/>
      </c>
      <c r="C283" s="43" t="str">
        <f aca="false">IF(A283="","",$E$4)</f>
        <v/>
      </c>
      <c r="D283" s="43" t="str">
        <f aca="false">IF(A283="","",C283-E283)</f>
        <v/>
      </c>
      <c r="E283" s="43" t="str">
        <f aca="false">IF(A283="","",F282*$C$5/$C$7)</f>
        <v/>
      </c>
      <c r="F283" s="43" t="str">
        <f aca="false">IF(A283="","",MAX(0,F282-D283))</f>
        <v/>
      </c>
    </row>
    <row r="284" customFormat="false" ht="15" hidden="false" customHeight="false" outlineLevel="0" collapsed="false">
      <c r="A284" s="22" t="str">
        <f aca="false">IF(273&lt;=$E$5,273,"")</f>
        <v/>
      </c>
      <c r="B284" s="42" t="str">
        <f aca="false">IF(A284="","",IF($C$8="","",EDATE($C$8,(A284-1)*12/$C$7)))</f>
        <v/>
      </c>
      <c r="C284" s="43" t="str">
        <f aca="false">IF(A284="","",$E$4)</f>
        <v/>
      </c>
      <c r="D284" s="43" t="str">
        <f aca="false">IF(A284="","",C284-E284)</f>
        <v/>
      </c>
      <c r="E284" s="43" t="str">
        <f aca="false">IF(A284="","",F283*$C$5/$C$7)</f>
        <v/>
      </c>
      <c r="F284" s="43" t="str">
        <f aca="false">IF(A284="","",MAX(0,F283-D284))</f>
        <v/>
      </c>
    </row>
    <row r="285" customFormat="false" ht="15" hidden="false" customHeight="false" outlineLevel="0" collapsed="false">
      <c r="A285" s="22" t="str">
        <f aca="false">IF(274&lt;=$E$5,274,"")</f>
        <v/>
      </c>
      <c r="B285" s="42" t="str">
        <f aca="false">IF(A285="","",IF($C$8="","",EDATE($C$8,(A285-1)*12/$C$7)))</f>
        <v/>
      </c>
      <c r="C285" s="43" t="str">
        <f aca="false">IF(A285="","",$E$4)</f>
        <v/>
      </c>
      <c r="D285" s="43" t="str">
        <f aca="false">IF(A285="","",C285-E285)</f>
        <v/>
      </c>
      <c r="E285" s="43" t="str">
        <f aca="false">IF(A285="","",F284*$C$5/$C$7)</f>
        <v/>
      </c>
      <c r="F285" s="43" t="str">
        <f aca="false">IF(A285="","",MAX(0,F284-D285))</f>
        <v/>
      </c>
    </row>
    <row r="286" customFormat="false" ht="15" hidden="false" customHeight="false" outlineLevel="0" collapsed="false">
      <c r="A286" s="22" t="str">
        <f aca="false">IF(275&lt;=$E$5,275,"")</f>
        <v/>
      </c>
      <c r="B286" s="42" t="str">
        <f aca="false">IF(A286="","",IF($C$8="","",EDATE($C$8,(A286-1)*12/$C$7)))</f>
        <v/>
      </c>
      <c r="C286" s="43" t="str">
        <f aca="false">IF(A286="","",$E$4)</f>
        <v/>
      </c>
      <c r="D286" s="43" t="str">
        <f aca="false">IF(A286="","",C286-E286)</f>
        <v/>
      </c>
      <c r="E286" s="43" t="str">
        <f aca="false">IF(A286="","",F285*$C$5/$C$7)</f>
        <v/>
      </c>
      <c r="F286" s="43" t="str">
        <f aca="false">IF(A286="","",MAX(0,F285-D286))</f>
        <v/>
      </c>
    </row>
    <row r="287" customFormat="false" ht="15" hidden="false" customHeight="false" outlineLevel="0" collapsed="false">
      <c r="A287" s="22" t="str">
        <f aca="false">IF(276&lt;=$E$5,276,"")</f>
        <v/>
      </c>
      <c r="B287" s="42" t="str">
        <f aca="false">IF(A287="","",IF($C$8="","",EDATE($C$8,(A287-1)*12/$C$7)))</f>
        <v/>
      </c>
      <c r="C287" s="43" t="str">
        <f aca="false">IF(A287="","",$E$4)</f>
        <v/>
      </c>
      <c r="D287" s="43" t="str">
        <f aca="false">IF(A287="","",C287-E287)</f>
        <v/>
      </c>
      <c r="E287" s="43" t="str">
        <f aca="false">IF(A287="","",F286*$C$5/$C$7)</f>
        <v/>
      </c>
      <c r="F287" s="43" t="str">
        <f aca="false">IF(A287="","",MAX(0,F286-D287))</f>
        <v/>
      </c>
    </row>
    <row r="288" customFormat="false" ht="15" hidden="false" customHeight="false" outlineLevel="0" collapsed="false">
      <c r="A288" s="22" t="str">
        <f aca="false">IF(277&lt;=$E$5,277,"")</f>
        <v/>
      </c>
      <c r="B288" s="42" t="str">
        <f aca="false">IF(A288="","",IF($C$8="","",EDATE($C$8,(A288-1)*12/$C$7)))</f>
        <v/>
      </c>
      <c r="C288" s="43" t="str">
        <f aca="false">IF(A288="","",$E$4)</f>
        <v/>
      </c>
      <c r="D288" s="43" t="str">
        <f aca="false">IF(A288="","",C288-E288)</f>
        <v/>
      </c>
      <c r="E288" s="43" t="str">
        <f aca="false">IF(A288="","",F287*$C$5/$C$7)</f>
        <v/>
      </c>
      <c r="F288" s="43" t="str">
        <f aca="false">IF(A288="","",MAX(0,F287-D288))</f>
        <v/>
      </c>
    </row>
    <row r="289" customFormat="false" ht="15" hidden="false" customHeight="false" outlineLevel="0" collapsed="false">
      <c r="A289" s="22" t="str">
        <f aca="false">IF(278&lt;=$E$5,278,"")</f>
        <v/>
      </c>
      <c r="B289" s="42" t="str">
        <f aca="false">IF(A289="","",IF($C$8="","",EDATE($C$8,(A289-1)*12/$C$7)))</f>
        <v/>
      </c>
      <c r="C289" s="43" t="str">
        <f aca="false">IF(A289="","",$E$4)</f>
        <v/>
      </c>
      <c r="D289" s="43" t="str">
        <f aca="false">IF(A289="","",C289-E289)</f>
        <v/>
      </c>
      <c r="E289" s="43" t="str">
        <f aca="false">IF(A289="","",F288*$C$5/$C$7)</f>
        <v/>
      </c>
      <c r="F289" s="43" t="str">
        <f aca="false">IF(A289="","",MAX(0,F288-D289))</f>
        <v/>
      </c>
    </row>
    <row r="290" customFormat="false" ht="15" hidden="false" customHeight="false" outlineLevel="0" collapsed="false">
      <c r="A290" s="22" t="str">
        <f aca="false">IF(279&lt;=$E$5,279,"")</f>
        <v/>
      </c>
      <c r="B290" s="42" t="str">
        <f aca="false">IF(A290="","",IF($C$8="","",EDATE($C$8,(A290-1)*12/$C$7)))</f>
        <v/>
      </c>
      <c r="C290" s="43" t="str">
        <f aca="false">IF(A290="","",$E$4)</f>
        <v/>
      </c>
      <c r="D290" s="43" t="str">
        <f aca="false">IF(A290="","",C290-E290)</f>
        <v/>
      </c>
      <c r="E290" s="43" t="str">
        <f aca="false">IF(A290="","",F289*$C$5/$C$7)</f>
        <v/>
      </c>
      <c r="F290" s="43" t="str">
        <f aca="false">IF(A290="","",MAX(0,F289-D290))</f>
        <v/>
      </c>
    </row>
    <row r="291" customFormat="false" ht="15" hidden="false" customHeight="false" outlineLevel="0" collapsed="false">
      <c r="A291" s="22" t="str">
        <f aca="false">IF(280&lt;=$E$5,280,"")</f>
        <v/>
      </c>
      <c r="B291" s="42" t="str">
        <f aca="false">IF(A291="","",IF($C$8="","",EDATE($C$8,(A291-1)*12/$C$7)))</f>
        <v/>
      </c>
      <c r="C291" s="43" t="str">
        <f aca="false">IF(A291="","",$E$4)</f>
        <v/>
      </c>
      <c r="D291" s="43" t="str">
        <f aca="false">IF(A291="","",C291-E291)</f>
        <v/>
      </c>
      <c r="E291" s="43" t="str">
        <f aca="false">IF(A291="","",F290*$C$5/$C$7)</f>
        <v/>
      </c>
      <c r="F291" s="43" t="str">
        <f aca="false">IF(A291="","",MAX(0,F290-D291))</f>
        <v/>
      </c>
    </row>
    <row r="292" customFormat="false" ht="15" hidden="false" customHeight="false" outlineLevel="0" collapsed="false">
      <c r="A292" s="22" t="str">
        <f aca="false">IF(281&lt;=$E$5,281,"")</f>
        <v/>
      </c>
      <c r="B292" s="42" t="str">
        <f aca="false">IF(A292="","",IF($C$8="","",EDATE($C$8,(A292-1)*12/$C$7)))</f>
        <v/>
      </c>
      <c r="C292" s="43" t="str">
        <f aca="false">IF(A292="","",$E$4)</f>
        <v/>
      </c>
      <c r="D292" s="43" t="str">
        <f aca="false">IF(A292="","",C292-E292)</f>
        <v/>
      </c>
      <c r="E292" s="43" t="str">
        <f aca="false">IF(A292="","",F291*$C$5/$C$7)</f>
        <v/>
      </c>
      <c r="F292" s="43" t="str">
        <f aca="false">IF(A292="","",MAX(0,F291-D292))</f>
        <v/>
      </c>
    </row>
    <row r="293" customFormat="false" ht="15" hidden="false" customHeight="false" outlineLevel="0" collapsed="false">
      <c r="A293" s="22" t="str">
        <f aca="false">IF(282&lt;=$E$5,282,"")</f>
        <v/>
      </c>
      <c r="B293" s="42" t="str">
        <f aca="false">IF(A293="","",IF($C$8="","",EDATE($C$8,(A293-1)*12/$C$7)))</f>
        <v/>
      </c>
      <c r="C293" s="43" t="str">
        <f aca="false">IF(A293="","",$E$4)</f>
        <v/>
      </c>
      <c r="D293" s="43" t="str">
        <f aca="false">IF(A293="","",C293-E293)</f>
        <v/>
      </c>
      <c r="E293" s="43" t="str">
        <f aca="false">IF(A293="","",F292*$C$5/$C$7)</f>
        <v/>
      </c>
      <c r="F293" s="43" t="str">
        <f aca="false">IF(A293="","",MAX(0,F292-D293))</f>
        <v/>
      </c>
    </row>
    <row r="294" customFormat="false" ht="15" hidden="false" customHeight="false" outlineLevel="0" collapsed="false">
      <c r="A294" s="22" t="str">
        <f aca="false">IF(283&lt;=$E$5,283,"")</f>
        <v/>
      </c>
      <c r="B294" s="42" t="str">
        <f aca="false">IF(A294="","",IF($C$8="","",EDATE($C$8,(A294-1)*12/$C$7)))</f>
        <v/>
      </c>
      <c r="C294" s="43" t="str">
        <f aca="false">IF(A294="","",$E$4)</f>
        <v/>
      </c>
      <c r="D294" s="43" t="str">
        <f aca="false">IF(A294="","",C294-E294)</f>
        <v/>
      </c>
      <c r="E294" s="43" t="str">
        <f aca="false">IF(A294="","",F293*$C$5/$C$7)</f>
        <v/>
      </c>
      <c r="F294" s="43" t="str">
        <f aca="false">IF(A294="","",MAX(0,F293-D294))</f>
        <v/>
      </c>
    </row>
    <row r="295" customFormat="false" ht="15" hidden="false" customHeight="false" outlineLevel="0" collapsed="false">
      <c r="A295" s="22" t="str">
        <f aca="false">IF(284&lt;=$E$5,284,"")</f>
        <v/>
      </c>
      <c r="B295" s="42" t="str">
        <f aca="false">IF(A295="","",IF($C$8="","",EDATE($C$8,(A295-1)*12/$C$7)))</f>
        <v/>
      </c>
      <c r="C295" s="43" t="str">
        <f aca="false">IF(A295="","",$E$4)</f>
        <v/>
      </c>
      <c r="D295" s="43" t="str">
        <f aca="false">IF(A295="","",C295-E295)</f>
        <v/>
      </c>
      <c r="E295" s="43" t="str">
        <f aca="false">IF(A295="","",F294*$C$5/$C$7)</f>
        <v/>
      </c>
      <c r="F295" s="43" t="str">
        <f aca="false">IF(A295="","",MAX(0,F294-D295))</f>
        <v/>
      </c>
    </row>
    <row r="296" customFormat="false" ht="15" hidden="false" customHeight="false" outlineLevel="0" collapsed="false">
      <c r="A296" s="22" t="str">
        <f aca="false">IF(285&lt;=$E$5,285,"")</f>
        <v/>
      </c>
      <c r="B296" s="42" t="str">
        <f aca="false">IF(A296="","",IF($C$8="","",EDATE($C$8,(A296-1)*12/$C$7)))</f>
        <v/>
      </c>
      <c r="C296" s="43" t="str">
        <f aca="false">IF(A296="","",$E$4)</f>
        <v/>
      </c>
      <c r="D296" s="43" t="str">
        <f aca="false">IF(A296="","",C296-E296)</f>
        <v/>
      </c>
      <c r="E296" s="43" t="str">
        <f aca="false">IF(A296="","",F295*$C$5/$C$7)</f>
        <v/>
      </c>
      <c r="F296" s="43" t="str">
        <f aca="false">IF(A296="","",MAX(0,F295-D296))</f>
        <v/>
      </c>
    </row>
    <row r="297" customFormat="false" ht="15" hidden="false" customHeight="false" outlineLevel="0" collapsed="false">
      <c r="A297" s="22" t="str">
        <f aca="false">IF(286&lt;=$E$5,286,"")</f>
        <v/>
      </c>
      <c r="B297" s="42" t="str">
        <f aca="false">IF(A297="","",IF($C$8="","",EDATE($C$8,(A297-1)*12/$C$7)))</f>
        <v/>
      </c>
      <c r="C297" s="43" t="str">
        <f aca="false">IF(A297="","",$E$4)</f>
        <v/>
      </c>
      <c r="D297" s="43" t="str">
        <f aca="false">IF(A297="","",C297-E297)</f>
        <v/>
      </c>
      <c r="E297" s="43" t="str">
        <f aca="false">IF(A297="","",F296*$C$5/$C$7)</f>
        <v/>
      </c>
      <c r="F297" s="43" t="str">
        <f aca="false">IF(A297="","",MAX(0,F296-D297))</f>
        <v/>
      </c>
    </row>
    <row r="298" customFormat="false" ht="15" hidden="false" customHeight="false" outlineLevel="0" collapsed="false">
      <c r="A298" s="22" t="str">
        <f aca="false">IF(287&lt;=$E$5,287,"")</f>
        <v/>
      </c>
      <c r="B298" s="42" t="str">
        <f aca="false">IF(A298="","",IF($C$8="","",EDATE($C$8,(A298-1)*12/$C$7)))</f>
        <v/>
      </c>
      <c r="C298" s="43" t="str">
        <f aca="false">IF(A298="","",$E$4)</f>
        <v/>
      </c>
      <c r="D298" s="43" t="str">
        <f aca="false">IF(A298="","",C298-E298)</f>
        <v/>
      </c>
      <c r="E298" s="43" t="str">
        <f aca="false">IF(A298="","",F297*$C$5/$C$7)</f>
        <v/>
      </c>
      <c r="F298" s="43" t="str">
        <f aca="false">IF(A298="","",MAX(0,F297-D298))</f>
        <v/>
      </c>
    </row>
    <row r="299" customFormat="false" ht="15" hidden="false" customHeight="false" outlineLevel="0" collapsed="false">
      <c r="A299" s="22" t="str">
        <f aca="false">IF(288&lt;=$E$5,288,"")</f>
        <v/>
      </c>
      <c r="B299" s="42" t="str">
        <f aca="false">IF(A299="","",IF($C$8="","",EDATE($C$8,(A299-1)*12/$C$7)))</f>
        <v/>
      </c>
      <c r="C299" s="43" t="str">
        <f aca="false">IF(A299="","",$E$4)</f>
        <v/>
      </c>
      <c r="D299" s="43" t="str">
        <f aca="false">IF(A299="","",C299-E299)</f>
        <v/>
      </c>
      <c r="E299" s="43" t="str">
        <f aca="false">IF(A299="","",F298*$C$5/$C$7)</f>
        <v/>
      </c>
      <c r="F299" s="43" t="str">
        <f aca="false">IF(A299="","",MAX(0,F298-D299))</f>
        <v/>
      </c>
    </row>
    <row r="300" customFormat="false" ht="15" hidden="false" customHeight="false" outlineLevel="0" collapsed="false">
      <c r="A300" s="22" t="str">
        <f aca="false">IF(289&lt;=$E$5,289,"")</f>
        <v/>
      </c>
      <c r="B300" s="42" t="str">
        <f aca="false">IF(A300="","",IF($C$8="","",EDATE($C$8,(A300-1)*12/$C$7)))</f>
        <v/>
      </c>
      <c r="C300" s="43" t="str">
        <f aca="false">IF(A300="","",$E$4)</f>
        <v/>
      </c>
      <c r="D300" s="43" t="str">
        <f aca="false">IF(A300="","",C300-E300)</f>
        <v/>
      </c>
      <c r="E300" s="43" t="str">
        <f aca="false">IF(A300="","",F299*$C$5/$C$7)</f>
        <v/>
      </c>
      <c r="F300" s="43" t="str">
        <f aca="false">IF(A300="","",MAX(0,F299-D300))</f>
        <v/>
      </c>
    </row>
    <row r="301" customFormat="false" ht="15" hidden="false" customHeight="false" outlineLevel="0" collapsed="false">
      <c r="A301" s="22" t="str">
        <f aca="false">IF(290&lt;=$E$5,290,"")</f>
        <v/>
      </c>
      <c r="B301" s="42" t="str">
        <f aca="false">IF(A301="","",IF($C$8="","",EDATE($C$8,(A301-1)*12/$C$7)))</f>
        <v/>
      </c>
      <c r="C301" s="43" t="str">
        <f aca="false">IF(A301="","",$E$4)</f>
        <v/>
      </c>
      <c r="D301" s="43" t="str">
        <f aca="false">IF(A301="","",C301-E301)</f>
        <v/>
      </c>
      <c r="E301" s="43" t="str">
        <f aca="false">IF(A301="","",F300*$C$5/$C$7)</f>
        <v/>
      </c>
      <c r="F301" s="43" t="str">
        <f aca="false">IF(A301="","",MAX(0,F300-D301))</f>
        <v/>
      </c>
    </row>
    <row r="302" customFormat="false" ht="15" hidden="false" customHeight="false" outlineLevel="0" collapsed="false">
      <c r="A302" s="22" t="str">
        <f aca="false">IF(291&lt;=$E$5,291,"")</f>
        <v/>
      </c>
      <c r="B302" s="42" t="str">
        <f aca="false">IF(A302="","",IF($C$8="","",EDATE($C$8,(A302-1)*12/$C$7)))</f>
        <v/>
      </c>
      <c r="C302" s="43" t="str">
        <f aca="false">IF(A302="","",$E$4)</f>
        <v/>
      </c>
      <c r="D302" s="43" t="str">
        <f aca="false">IF(A302="","",C302-E302)</f>
        <v/>
      </c>
      <c r="E302" s="43" t="str">
        <f aca="false">IF(A302="","",F301*$C$5/$C$7)</f>
        <v/>
      </c>
      <c r="F302" s="43" t="str">
        <f aca="false">IF(A302="","",MAX(0,F301-D302))</f>
        <v/>
      </c>
    </row>
    <row r="303" customFormat="false" ht="15" hidden="false" customHeight="false" outlineLevel="0" collapsed="false">
      <c r="A303" s="22" t="str">
        <f aca="false">IF(292&lt;=$E$5,292,"")</f>
        <v/>
      </c>
      <c r="B303" s="42" t="str">
        <f aca="false">IF(A303="","",IF($C$8="","",EDATE($C$8,(A303-1)*12/$C$7)))</f>
        <v/>
      </c>
      <c r="C303" s="43" t="str">
        <f aca="false">IF(A303="","",$E$4)</f>
        <v/>
      </c>
      <c r="D303" s="43" t="str">
        <f aca="false">IF(A303="","",C303-E303)</f>
        <v/>
      </c>
      <c r="E303" s="43" t="str">
        <f aca="false">IF(A303="","",F302*$C$5/$C$7)</f>
        <v/>
      </c>
      <c r="F303" s="43" t="str">
        <f aca="false">IF(A303="","",MAX(0,F302-D303))</f>
        <v/>
      </c>
    </row>
    <row r="304" customFormat="false" ht="15" hidden="false" customHeight="false" outlineLevel="0" collapsed="false">
      <c r="A304" s="22" t="str">
        <f aca="false">IF(293&lt;=$E$5,293,"")</f>
        <v/>
      </c>
      <c r="B304" s="42" t="str">
        <f aca="false">IF(A304="","",IF($C$8="","",EDATE($C$8,(A304-1)*12/$C$7)))</f>
        <v/>
      </c>
      <c r="C304" s="43" t="str">
        <f aca="false">IF(A304="","",$E$4)</f>
        <v/>
      </c>
      <c r="D304" s="43" t="str">
        <f aca="false">IF(A304="","",C304-E304)</f>
        <v/>
      </c>
      <c r="E304" s="43" t="str">
        <f aca="false">IF(A304="","",F303*$C$5/$C$7)</f>
        <v/>
      </c>
      <c r="F304" s="43" t="str">
        <f aca="false">IF(A304="","",MAX(0,F303-D304))</f>
        <v/>
      </c>
    </row>
    <row r="305" customFormat="false" ht="15" hidden="false" customHeight="false" outlineLevel="0" collapsed="false">
      <c r="A305" s="22" t="str">
        <f aca="false">IF(294&lt;=$E$5,294,"")</f>
        <v/>
      </c>
      <c r="B305" s="42" t="str">
        <f aca="false">IF(A305="","",IF($C$8="","",EDATE($C$8,(A305-1)*12/$C$7)))</f>
        <v/>
      </c>
      <c r="C305" s="43" t="str">
        <f aca="false">IF(A305="","",$E$4)</f>
        <v/>
      </c>
      <c r="D305" s="43" t="str">
        <f aca="false">IF(A305="","",C305-E305)</f>
        <v/>
      </c>
      <c r="E305" s="43" t="str">
        <f aca="false">IF(A305="","",F304*$C$5/$C$7)</f>
        <v/>
      </c>
      <c r="F305" s="43" t="str">
        <f aca="false">IF(A305="","",MAX(0,F304-D305))</f>
        <v/>
      </c>
    </row>
    <row r="306" customFormat="false" ht="15" hidden="false" customHeight="false" outlineLevel="0" collapsed="false">
      <c r="A306" s="22" t="str">
        <f aca="false">IF(295&lt;=$E$5,295,"")</f>
        <v/>
      </c>
      <c r="B306" s="42" t="str">
        <f aca="false">IF(A306="","",IF($C$8="","",EDATE($C$8,(A306-1)*12/$C$7)))</f>
        <v/>
      </c>
      <c r="C306" s="43" t="str">
        <f aca="false">IF(A306="","",$E$4)</f>
        <v/>
      </c>
      <c r="D306" s="43" t="str">
        <f aca="false">IF(A306="","",C306-E306)</f>
        <v/>
      </c>
      <c r="E306" s="43" t="str">
        <f aca="false">IF(A306="","",F305*$C$5/$C$7)</f>
        <v/>
      </c>
      <c r="F306" s="43" t="str">
        <f aca="false">IF(A306="","",MAX(0,F305-D306))</f>
        <v/>
      </c>
    </row>
    <row r="307" customFormat="false" ht="15" hidden="false" customHeight="false" outlineLevel="0" collapsed="false">
      <c r="A307" s="22" t="str">
        <f aca="false">IF(296&lt;=$E$5,296,"")</f>
        <v/>
      </c>
      <c r="B307" s="42" t="str">
        <f aca="false">IF(A307="","",IF($C$8="","",EDATE($C$8,(A307-1)*12/$C$7)))</f>
        <v/>
      </c>
      <c r="C307" s="43" t="str">
        <f aca="false">IF(A307="","",$E$4)</f>
        <v/>
      </c>
      <c r="D307" s="43" t="str">
        <f aca="false">IF(A307="","",C307-E307)</f>
        <v/>
      </c>
      <c r="E307" s="43" t="str">
        <f aca="false">IF(A307="","",F306*$C$5/$C$7)</f>
        <v/>
      </c>
      <c r="F307" s="43" t="str">
        <f aca="false">IF(A307="","",MAX(0,F306-D307))</f>
        <v/>
      </c>
    </row>
    <row r="308" customFormat="false" ht="15" hidden="false" customHeight="false" outlineLevel="0" collapsed="false">
      <c r="A308" s="22" t="str">
        <f aca="false">IF(297&lt;=$E$5,297,"")</f>
        <v/>
      </c>
      <c r="B308" s="42" t="str">
        <f aca="false">IF(A308="","",IF($C$8="","",EDATE($C$8,(A308-1)*12/$C$7)))</f>
        <v/>
      </c>
      <c r="C308" s="43" t="str">
        <f aca="false">IF(A308="","",$E$4)</f>
        <v/>
      </c>
      <c r="D308" s="43" t="str">
        <f aca="false">IF(A308="","",C308-E308)</f>
        <v/>
      </c>
      <c r="E308" s="43" t="str">
        <f aca="false">IF(A308="","",F307*$C$5/$C$7)</f>
        <v/>
      </c>
      <c r="F308" s="43" t="str">
        <f aca="false">IF(A308="","",MAX(0,F307-D308))</f>
        <v/>
      </c>
    </row>
    <row r="309" customFormat="false" ht="15" hidden="false" customHeight="false" outlineLevel="0" collapsed="false">
      <c r="A309" s="22" t="str">
        <f aca="false">IF(298&lt;=$E$5,298,"")</f>
        <v/>
      </c>
      <c r="B309" s="42" t="str">
        <f aca="false">IF(A309="","",IF($C$8="","",EDATE($C$8,(A309-1)*12/$C$7)))</f>
        <v/>
      </c>
      <c r="C309" s="43" t="str">
        <f aca="false">IF(A309="","",$E$4)</f>
        <v/>
      </c>
      <c r="D309" s="43" t="str">
        <f aca="false">IF(A309="","",C309-E309)</f>
        <v/>
      </c>
      <c r="E309" s="43" t="str">
        <f aca="false">IF(A309="","",F308*$C$5/$C$7)</f>
        <v/>
      </c>
      <c r="F309" s="43" t="str">
        <f aca="false">IF(A309="","",MAX(0,F308-D309))</f>
        <v/>
      </c>
    </row>
    <row r="310" customFormat="false" ht="15" hidden="false" customHeight="false" outlineLevel="0" collapsed="false">
      <c r="A310" s="22" t="str">
        <f aca="false">IF(299&lt;=$E$5,299,"")</f>
        <v/>
      </c>
      <c r="B310" s="42" t="str">
        <f aca="false">IF(A310="","",IF($C$8="","",EDATE($C$8,(A310-1)*12/$C$7)))</f>
        <v/>
      </c>
      <c r="C310" s="43" t="str">
        <f aca="false">IF(A310="","",$E$4)</f>
        <v/>
      </c>
      <c r="D310" s="43" t="str">
        <f aca="false">IF(A310="","",C310-E310)</f>
        <v/>
      </c>
      <c r="E310" s="43" t="str">
        <f aca="false">IF(A310="","",F309*$C$5/$C$7)</f>
        <v/>
      </c>
      <c r="F310" s="43" t="str">
        <f aca="false">IF(A310="","",MAX(0,F309-D310))</f>
        <v/>
      </c>
    </row>
    <row r="311" customFormat="false" ht="15" hidden="false" customHeight="false" outlineLevel="0" collapsed="false">
      <c r="A311" s="22" t="str">
        <f aca="false">IF(300&lt;=$E$5,300,"")</f>
        <v/>
      </c>
      <c r="B311" s="42" t="str">
        <f aca="false">IF(A311="","",IF($C$8="","",EDATE($C$8,(A311-1)*12/$C$7)))</f>
        <v/>
      </c>
      <c r="C311" s="43" t="str">
        <f aca="false">IF(A311="","",$E$4)</f>
        <v/>
      </c>
      <c r="D311" s="43" t="str">
        <f aca="false">IF(A311="","",C311-E311)</f>
        <v/>
      </c>
      <c r="E311" s="43" t="str">
        <f aca="false">IF(A311="","",F310*$C$5/$C$7)</f>
        <v/>
      </c>
      <c r="F311" s="43" t="str">
        <f aca="false">IF(A311="","",MAX(0,F310-D311))</f>
        <v/>
      </c>
    </row>
    <row r="312" customFormat="false" ht="15" hidden="false" customHeight="false" outlineLevel="0" collapsed="false">
      <c r="A312" s="22" t="str">
        <f aca="false">IF(301&lt;=$E$5,301,"")</f>
        <v/>
      </c>
      <c r="B312" s="42" t="str">
        <f aca="false">IF(A312="","",IF($C$8="","",EDATE($C$8,(A312-1)*12/$C$7)))</f>
        <v/>
      </c>
      <c r="C312" s="43" t="str">
        <f aca="false">IF(A312="","",$E$4)</f>
        <v/>
      </c>
      <c r="D312" s="43" t="str">
        <f aca="false">IF(A312="","",C312-E312)</f>
        <v/>
      </c>
      <c r="E312" s="43" t="str">
        <f aca="false">IF(A312="","",F311*$C$5/$C$7)</f>
        <v/>
      </c>
      <c r="F312" s="43" t="str">
        <f aca="false">IF(A312="","",MAX(0,F311-D312))</f>
        <v/>
      </c>
    </row>
    <row r="313" customFormat="false" ht="15" hidden="false" customHeight="false" outlineLevel="0" collapsed="false">
      <c r="A313" s="22" t="str">
        <f aca="false">IF(302&lt;=$E$5,302,"")</f>
        <v/>
      </c>
      <c r="B313" s="42" t="str">
        <f aca="false">IF(A313="","",IF($C$8="","",EDATE($C$8,(A313-1)*12/$C$7)))</f>
        <v/>
      </c>
      <c r="C313" s="43" t="str">
        <f aca="false">IF(A313="","",$E$4)</f>
        <v/>
      </c>
      <c r="D313" s="43" t="str">
        <f aca="false">IF(A313="","",C313-E313)</f>
        <v/>
      </c>
      <c r="E313" s="43" t="str">
        <f aca="false">IF(A313="","",F312*$C$5/$C$7)</f>
        <v/>
      </c>
      <c r="F313" s="43" t="str">
        <f aca="false">IF(A313="","",MAX(0,F312-D313))</f>
        <v/>
      </c>
    </row>
    <row r="314" customFormat="false" ht="15" hidden="false" customHeight="false" outlineLevel="0" collapsed="false">
      <c r="A314" s="22" t="str">
        <f aca="false">IF(303&lt;=$E$5,303,"")</f>
        <v/>
      </c>
      <c r="B314" s="42" t="str">
        <f aca="false">IF(A314="","",IF($C$8="","",EDATE($C$8,(A314-1)*12/$C$7)))</f>
        <v/>
      </c>
      <c r="C314" s="43" t="str">
        <f aca="false">IF(A314="","",$E$4)</f>
        <v/>
      </c>
      <c r="D314" s="43" t="str">
        <f aca="false">IF(A314="","",C314-E314)</f>
        <v/>
      </c>
      <c r="E314" s="43" t="str">
        <f aca="false">IF(A314="","",F313*$C$5/$C$7)</f>
        <v/>
      </c>
      <c r="F314" s="43" t="str">
        <f aca="false">IF(A314="","",MAX(0,F313-D314))</f>
        <v/>
      </c>
    </row>
    <row r="315" customFormat="false" ht="15" hidden="false" customHeight="false" outlineLevel="0" collapsed="false">
      <c r="A315" s="22" t="str">
        <f aca="false">IF(304&lt;=$E$5,304,"")</f>
        <v/>
      </c>
      <c r="B315" s="42" t="str">
        <f aca="false">IF(A315="","",IF($C$8="","",EDATE($C$8,(A315-1)*12/$C$7)))</f>
        <v/>
      </c>
      <c r="C315" s="43" t="str">
        <f aca="false">IF(A315="","",$E$4)</f>
        <v/>
      </c>
      <c r="D315" s="43" t="str">
        <f aca="false">IF(A315="","",C315-E315)</f>
        <v/>
      </c>
      <c r="E315" s="43" t="str">
        <f aca="false">IF(A315="","",F314*$C$5/$C$7)</f>
        <v/>
      </c>
      <c r="F315" s="43" t="str">
        <f aca="false">IF(A315="","",MAX(0,F314-D315))</f>
        <v/>
      </c>
    </row>
    <row r="316" customFormat="false" ht="15" hidden="false" customHeight="false" outlineLevel="0" collapsed="false">
      <c r="A316" s="22" t="str">
        <f aca="false">IF(305&lt;=$E$5,305,"")</f>
        <v/>
      </c>
      <c r="B316" s="42" t="str">
        <f aca="false">IF(A316="","",IF($C$8="","",EDATE($C$8,(A316-1)*12/$C$7)))</f>
        <v/>
      </c>
      <c r="C316" s="43" t="str">
        <f aca="false">IF(A316="","",$E$4)</f>
        <v/>
      </c>
      <c r="D316" s="43" t="str">
        <f aca="false">IF(A316="","",C316-E316)</f>
        <v/>
      </c>
      <c r="E316" s="43" t="str">
        <f aca="false">IF(A316="","",F315*$C$5/$C$7)</f>
        <v/>
      </c>
      <c r="F316" s="43" t="str">
        <f aca="false">IF(A316="","",MAX(0,F315-D316))</f>
        <v/>
      </c>
    </row>
    <row r="317" customFormat="false" ht="15" hidden="false" customHeight="false" outlineLevel="0" collapsed="false">
      <c r="A317" s="22" t="str">
        <f aca="false">IF(306&lt;=$E$5,306,"")</f>
        <v/>
      </c>
      <c r="B317" s="42" t="str">
        <f aca="false">IF(A317="","",IF($C$8="","",EDATE($C$8,(A317-1)*12/$C$7)))</f>
        <v/>
      </c>
      <c r="C317" s="43" t="str">
        <f aca="false">IF(A317="","",$E$4)</f>
        <v/>
      </c>
      <c r="D317" s="43" t="str">
        <f aca="false">IF(A317="","",C317-E317)</f>
        <v/>
      </c>
      <c r="E317" s="43" t="str">
        <f aca="false">IF(A317="","",F316*$C$5/$C$7)</f>
        <v/>
      </c>
      <c r="F317" s="43" t="str">
        <f aca="false">IF(A317="","",MAX(0,F316-D317))</f>
        <v/>
      </c>
    </row>
    <row r="318" customFormat="false" ht="15" hidden="false" customHeight="false" outlineLevel="0" collapsed="false">
      <c r="A318" s="22" t="str">
        <f aca="false">IF(307&lt;=$E$5,307,"")</f>
        <v/>
      </c>
      <c r="B318" s="42" t="str">
        <f aca="false">IF(A318="","",IF($C$8="","",EDATE($C$8,(A318-1)*12/$C$7)))</f>
        <v/>
      </c>
      <c r="C318" s="43" t="str">
        <f aca="false">IF(A318="","",$E$4)</f>
        <v/>
      </c>
      <c r="D318" s="43" t="str">
        <f aca="false">IF(A318="","",C318-E318)</f>
        <v/>
      </c>
      <c r="E318" s="43" t="str">
        <f aca="false">IF(A318="","",F317*$C$5/$C$7)</f>
        <v/>
      </c>
      <c r="F318" s="43" t="str">
        <f aca="false">IF(A318="","",MAX(0,F317-D318))</f>
        <v/>
      </c>
    </row>
    <row r="319" customFormat="false" ht="15" hidden="false" customHeight="false" outlineLevel="0" collapsed="false">
      <c r="A319" s="22" t="str">
        <f aca="false">IF(308&lt;=$E$5,308,"")</f>
        <v/>
      </c>
      <c r="B319" s="42" t="str">
        <f aca="false">IF(A319="","",IF($C$8="","",EDATE($C$8,(A319-1)*12/$C$7)))</f>
        <v/>
      </c>
      <c r="C319" s="43" t="str">
        <f aca="false">IF(A319="","",$E$4)</f>
        <v/>
      </c>
      <c r="D319" s="43" t="str">
        <f aca="false">IF(A319="","",C319-E319)</f>
        <v/>
      </c>
      <c r="E319" s="43" t="str">
        <f aca="false">IF(A319="","",F318*$C$5/$C$7)</f>
        <v/>
      </c>
      <c r="F319" s="43" t="str">
        <f aca="false">IF(A319="","",MAX(0,F318-D319))</f>
        <v/>
      </c>
    </row>
    <row r="320" customFormat="false" ht="15" hidden="false" customHeight="false" outlineLevel="0" collapsed="false">
      <c r="A320" s="22" t="str">
        <f aca="false">IF(309&lt;=$E$5,309,"")</f>
        <v/>
      </c>
      <c r="B320" s="42" t="str">
        <f aca="false">IF(A320="","",IF($C$8="","",EDATE($C$8,(A320-1)*12/$C$7)))</f>
        <v/>
      </c>
      <c r="C320" s="43" t="str">
        <f aca="false">IF(A320="","",$E$4)</f>
        <v/>
      </c>
      <c r="D320" s="43" t="str">
        <f aca="false">IF(A320="","",C320-E320)</f>
        <v/>
      </c>
      <c r="E320" s="43" t="str">
        <f aca="false">IF(A320="","",F319*$C$5/$C$7)</f>
        <v/>
      </c>
      <c r="F320" s="43" t="str">
        <f aca="false">IF(A320="","",MAX(0,F319-D320))</f>
        <v/>
      </c>
    </row>
    <row r="321" customFormat="false" ht="15" hidden="false" customHeight="false" outlineLevel="0" collapsed="false">
      <c r="A321" s="22" t="str">
        <f aca="false">IF(310&lt;=$E$5,310,"")</f>
        <v/>
      </c>
      <c r="B321" s="42" t="str">
        <f aca="false">IF(A321="","",IF($C$8="","",EDATE($C$8,(A321-1)*12/$C$7)))</f>
        <v/>
      </c>
      <c r="C321" s="43" t="str">
        <f aca="false">IF(A321="","",$E$4)</f>
        <v/>
      </c>
      <c r="D321" s="43" t="str">
        <f aca="false">IF(A321="","",C321-E321)</f>
        <v/>
      </c>
      <c r="E321" s="43" t="str">
        <f aca="false">IF(A321="","",F320*$C$5/$C$7)</f>
        <v/>
      </c>
      <c r="F321" s="43" t="str">
        <f aca="false">IF(A321="","",MAX(0,F320-D321))</f>
        <v/>
      </c>
    </row>
    <row r="322" customFormat="false" ht="15" hidden="false" customHeight="false" outlineLevel="0" collapsed="false">
      <c r="A322" s="22" t="str">
        <f aca="false">IF(311&lt;=$E$5,311,"")</f>
        <v/>
      </c>
      <c r="B322" s="42" t="str">
        <f aca="false">IF(A322="","",IF($C$8="","",EDATE($C$8,(A322-1)*12/$C$7)))</f>
        <v/>
      </c>
      <c r="C322" s="43" t="str">
        <f aca="false">IF(A322="","",$E$4)</f>
        <v/>
      </c>
      <c r="D322" s="43" t="str">
        <f aca="false">IF(A322="","",C322-E322)</f>
        <v/>
      </c>
      <c r="E322" s="43" t="str">
        <f aca="false">IF(A322="","",F321*$C$5/$C$7)</f>
        <v/>
      </c>
      <c r="F322" s="43" t="str">
        <f aca="false">IF(A322="","",MAX(0,F321-D322))</f>
        <v/>
      </c>
    </row>
    <row r="323" customFormat="false" ht="15" hidden="false" customHeight="false" outlineLevel="0" collapsed="false">
      <c r="A323" s="22" t="str">
        <f aca="false">IF(312&lt;=$E$5,312,"")</f>
        <v/>
      </c>
      <c r="B323" s="42" t="str">
        <f aca="false">IF(A323="","",IF($C$8="","",EDATE($C$8,(A323-1)*12/$C$7)))</f>
        <v/>
      </c>
      <c r="C323" s="43" t="str">
        <f aca="false">IF(A323="","",$E$4)</f>
        <v/>
      </c>
      <c r="D323" s="43" t="str">
        <f aca="false">IF(A323="","",C323-E323)</f>
        <v/>
      </c>
      <c r="E323" s="43" t="str">
        <f aca="false">IF(A323="","",F322*$C$5/$C$7)</f>
        <v/>
      </c>
      <c r="F323" s="43" t="str">
        <f aca="false">IF(A323="","",MAX(0,F322-D323))</f>
        <v/>
      </c>
    </row>
    <row r="324" customFormat="false" ht="15" hidden="false" customHeight="false" outlineLevel="0" collapsed="false">
      <c r="A324" s="22" t="str">
        <f aca="false">IF(313&lt;=$E$5,313,"")</f>
        <v/>
      </c>
      <c r="B324" s="42" t="str">
        <f aca="false">IF(A324="","",IF($C$8="","",EDATE($C$8,(A324-1)*12/$C$7)))</f>
        <v/>
      </c>
      <c r="C324" s="43" t="str">
        <f aca="false">IF(A324="","",$E$4)</f>
        <v/>
      </c>
      <c r="D324" s="43" t="str">
        <f aca="false">IF(A324="","",C324-E324)</f>
        <v/>
      </c>
      <c r="E324" s="43" t="str">
        <f aca="false">IF(A324="","",F323*$C$5/$C$7)</f>
        <v/>
      </c>
      <c r="F324" s="43" t="str">
        <f aca="false">IF(A324="","",MAX(0,F323-D324))</f>
        <v/>
      </c>
    </row>
    <row r="325" customFormat="false" ht="15" hidden="false" customHeight="false" outlineLevel="0" collapsed="false">
      <c r="A325" s="22" t="str">
        <f aca="false">IF(314&lt;=$E$5,314,"")</f>
        <v/>
      </c>
      <c r="B325" s="42" t="str">
        <f aca="false">IF(A325="","",IF($C$8="","",EDATE($C$8,(A325-1)*12/$C$7)))</f>
        <v/>
      </c>
      <c r="C325" s="43" t="str">
        <f aca="false">IF(A325="","",$E$4)</f>
        <v/>
      </c>
      <c r="D325" s="43" t="str">
        <f aca="false">IF(A325="","",C325-E325)</f>
        <v/>
      </c>
      <c r="E325" s="43" t="str">
        <f aca="false">IF(A325="","",F324*$C$5/$C$7)</f>
        <v/>
      </c>
      <c r="F325" s="43" t="str">
        <f aca="false">IF(A325="","",MAX(0,F324-D325))</f>
        <v/>
      </c>
    </row>
    <row r="326" customFormat="false" ht="15" hidden="false" customHeight="false" outlineLevel="0" collapsed="false">
      <c r="A326" s="22" t="str">
        <f aca="false">IF(315&lt;=$E$5,315,"")</f>
        <v/>
      </c>
      <c r="B326" s="42" t="str">
        <f aca="false">IF(A326="","",IF($C$8="","",EDATE($C$8,(A326-1)*12/$C$7)))</f>
        <v/>
      </c>
      <c r="C326" s="43" t="str">
        <f aca="false">IF(A326="","",$E$4)</f>
        <v/>
      </c>
      <c r="D326" s="43" t="str">
        <f aca="false">IF(A326="","",C326-E326)</f>
        <v/>
      </c>
      <c r="E326" s="43" t="str">
        <f aca="false">IF(A326="","",F325*$C$5/$C$7)</f>
        <v/>
      </c>
      <c r="F326" s="43" t="str">
        <f aca="false">IF(A326="","",MAX(0,F325-D326))</f>
        <v/>
      </c>
    </row>
    <row r="327" customFormat="false" ht="15" hidden="false" customHeight="false" outlineLevel="0" collapsed="false">
      <c r="A327" s="22" t="str">
        <f aca="false">IF(316&lt;=$E$5,316,"")</f>
        <v/>
      </c>
      <c r="B327" s="42" t="str">
        <f aca="false">IF(A327="","",IF($C$8="","",EDATE($C$8,(A327-1)*12/$C$7)))</f>
        <v/>
      </c>
      <c r="C327" s="43" t="str">
        <f aca="false">IF(A327="","",$E$4)</f>
        <v/>
      </c>
      <c r="D327" s="43" t="str">
        <f aca="false">IF(A327="","",C327-E327)</f>
        <v/>
      </c>
      <c r="E327" s="43" t="str">
        <f aca="false">IF(A327="","",F326*$C$5/$C$7)</f>
        <v/>
      </c>
      <c r="F327" s="43" t="str">
        <f aca="false">IF(A327="","",MAX(0,F326-D327))</f>
        <v/>
      </c>
    </row>
    <row r="328" customFormat="false" ht="15" hidden="false" customHeight="false" outlineLevel="0" collapsed="false">
      <c r="A328" s="22" t="str">
        <f aca="false">IF(317&lt;=$E$5,317,"")</f>
        <v/>
      </c>
      <c r="B328" s="42" t="str">
        <f aca="false">IF(A328="","",IF($C$8="","",EDATE($C$8,(A328-1)*12/$C$7)))</f>
        <v/>
      </c>
      <c r="C328" s="43" t="str">
        <f aca="false">IF(A328="","",$E$4)</f>
        <v/>
      </c>
      <c r="D328" s="43" t="str">
        <f aca="false">IF(A328="","",C328-E328)</f>
        <v/>
      </c>
      <c r="E328" s="43" t="str">
        <f aca="false">IF(A328="","",F327*$C$5/$C$7)</f>
        <v/>
      </c>
      <c r="F328" s="43" t="str">
        <f aca="false">IF(A328="","",MAX(0,F327-D328))</f>
        <v/>
      </c>
    </row>
    <row r="329" customFormat="false" ht="15" hidden="false" customHeight="false" outlineLevel="0" collapsed="false">
      <c r="A329" s="22" t="str">
        <f aca="false">IF(318&lt;=$E$5,318,"")</f>
        <v/>
      </c>
      <c r="B329" s="42" t="str">
        <f aca="false">IF(A329="","",IF($C$8="","",EDATE($C$8,(A329-1)*12/$C$7)))</f>
        <v/>
      </c>
      <c r="C329" s="43" t="str">
        <f aca="false">IF(A329="","",$E$4)</f>
        <v/>
      </c>
      <c r="D329" s="43" t="str">
        <f aca="false">IF(A329="","",C329-E329)</f>
        <v/>
      </c>
      <c r="E329" s="43" t="str">
        <f aca="false">IF(A329="","",F328*$C$5/$C$7)</f>
        <v/>
      </c>
      <c r="F329" s="43" t="str">
        <f aca="false">IF(A329="","",MAX(0,F328-D329))</f>
        <v/>
      </c>
    </row>
    <row r="330" customFormat="false" ht="15" hidden="false" customHeight="false" outlineLevel="0" collapsed="false">
      <c r="A330" s="22" t="str">
        <f aca="false">IF(319&lt;=$E$5,319,"")</f>
        <v/>
      </c>
      <c r="B330" s="42" t="str">
        <f aca="false">IF(A330="","",IF($C$8="","",EDATE($C$8,(A330-1)*12/$C$7)))</f>
        <v/>
      </c>
      <c r="C330" s="43" t="str">
        <f aca="false">IF(A330="","",$E$4)</f>
        <v/>
      </c>
      <c r="D330" s="43" t="str">
        <f aca="false">IF(A330="","",C330-E330)</f>
        <v/>
      </c>
      <c r="E330" s="43" t="str">
        <f aca="false">IF(A330="","",F329*$C$5/$C$7)</f>
        <v/>
      </c>
      <c r="F330" s="43" t="str">
        <f aca="false">IF(A330="","",MAX(0,F329-D330))</f>
        <v/>
      </c>
    </row>
    <row r="331" customFormat="false" ht="15" hidden="false" customHeight="false" outlineLevel="0" collapsed="false">
      <c r="A331" s="22" t="str">
        <f aca="false">IF(320&lt;=$E$5,320,"")</f>
        <v/>
      </c>
      <c r="B331" s="42" t="str">
        <f aca="false">IF(A331="","",IF($C$8="","",EDATE($C$8,(A331-1)*12/$C$7)))</f>
        <v/>
      </c>
      <c r="C331" s="43" t="str">
        <f aca="false">IF(A331="","",$E$4)</f>
        <v/>
      </c>
      <c r="D331" s="43" t="str">
        <f aca="false">IF(A331="","",C331-E331)</f>
        <v/>
      </c>
      <c r="E331" s="43" t="str">
        <f aca="false">IF(A331="","",F330*$C$5/$C$7)</f>
        <v/>
      </c>
      <c r="F331" s="43" t="str">
        <f aca="false">IF(A331="","",MAX(0,F330-D331))</f>
        <v/>
      </c>
    </row>
    <row r="332" customFormat="false" ht="15" hidden="false" customHeight="false" outlineLevel="0" collapsed="false">
      <c r="A332" s="22" t="str">
        <f aca="false">IF(321&lt;=$E$5,321,"")</f>
        <v/>
      </c>
      <c r="B332" s="42" t="str">
        <f aca="false">IF(A332="","",IF($C$8="","",EDATE($C$8,(A332-1)*12/$C$7)))</f>
        <v/>
      </c>
      <c r="C332" s="43" t="str">
        <f aca="false">IF(A332="","",$E$4)</f>
        <v/>
      </c>
      <c r="D332" s="43" t="str">
        <f aca="false">IF(A332="","",C332-E332)</f>
        <v/>
      </c>
      <c r="E332" s="43" t="str">
        <f aca="false">IF(A332="","",F331*$C$5/$C$7)</f>
        <v/>
      </c>
      <c r="F332" s="43" t="str">
        <f aca="false">IF(A332="","",MAX(0,F331-D332))</f>
        <v/>
      </c>
    </row>
    <row r="333" customFormat="false" ht="15" hidden="false" customHeight="false" outlineLevel="0" collapsed="false">
      <c r="A333" s="22" t="str">
        <f aca="false">IF(322&lt;=$E$5,322,"")</f>
        <v/>
      </c>
      <c r="B333" s="42" t="str">
        <f aca="false">IF(A333="","",IF($C$8="","",EDATE($C$8,(A333-1)*12/$C$7)))</f>
        <v/>
      </c>
      <c r="C333" s="43" t="str">
        <f aca="false">IF(A333="","",$E$4)</f>
        <v/>
      </c>
      <c r="D333" s="43" t="str">
        <f aca="false">IF(A333="","",C333-E333)</f>
        <v/>
      </c>
      <c r="E333" s="43" t="str">
        <f aca="false">IF(A333="","",F332*$C$5/$C$7)</f>
        <v/>
      </c>
      <c r="F333" s="43" t="str">
        <f aca="false">IF(A333="","",MAX(0,F332-D333))</f>
        <v/>
      </c>
    </row>
    <row r="334" customFormat="false" ht="15" hidden="false" customHeight="false" outlineLevel="0" collapsed="false">
      <c r="A334" s="22" t="str">
        <f aca="false">IF(323&lt;=$E$5,323,"")</f>
        <v/>
      </c>
      <c r="B334" s="42" t="str">
        <f aca="false">IF(A334="","",IF($C$8="","",EDATE($C$8,(A334-1)*12/$C$7)))</f>
        <v/>
      </c>
      <c r="C334" s="43" t="str">
        <f aca="false">IF(A334="","",$E$4)</f>
        <v/>
      </c>
      <c r="D334" s="43" t="str">
        <f aca="false">IF(A334="","",C334-E334)</f>
        <v/>
      </c>
      <c r="E334" s="43" t="str">
        <f aca="false">IF(A334="","",F333*$C$5/$C$7)</f>
        <v/>
      </c>
      <c r="F334" s="43" t="str">
        <f aca="false">IF(A334="","",MAX(0,F333-D334))</f>
        <v/>
      </c>
    </row>
    <row r="335" customFormat="false" ht="15" hidden="false" customHeight="false" outlineLevel="0" collapsed="false">
      <c r="A335" s="22" t="str">
        <f aca="false">IF(324&lt;=$E$5,324,"")</f>
        <v/>
      </c>
      <c r="B335" s="42" t="str">
        <f aca="false">IF(A335="","",IF($C$8="","",EDATE($C$8,(A335-1)*12/$C$7)))</f>
        <v/>
      </c>
      <c r="C335" s="43" t="str">
        <f aca="false">IF(A335="","",$E$4)</f>
        <v/>
      </c>
      <c r="D335" s="43" t="str">
        <f aca="false">IF(A335="","",C335-E335)</f>
        <v/>
      </c>
      <c r="E335" s="43" t="str">
        <f aca="false">IF(A335="","",F334*$C$5/$C$7)</f>
        <v/>
      </c>
      <c r="F335" s="43" t="str">
        <f aca="false">IF(A335="","",MAX(0,F334-D335))</f>
        <v/>
      </c>
    </row>
    <row r="336" customFormat="false" ht="15" hidden="false" customHeight="false" outlineLevel="0" collapsed="false">
      <c r="A336" s="22" t="str">
        <f aca="false">IF(325&lt;=$E$5,325,"")</f>
        <v/>
      </c>
      <c r="B336" s="42" t="str">
        <f aca="false">IF(A336="","",IF($C$8="","",EDATE($C$8,(A336-1)*12/$C$7)))</f>
        <v/>
      </c>
      <c r="C336" s="43" t="str">
        <f aca="false">IF(A336="","",$E$4)</f>
        <v/>
      </c>
      <c r="D336" s="43" t="str">
        <f aca="false">IF(A336="","",C336-E336)</f>
        <v/>
      </c>
      <c r="E336" s="43" t="str">
        <f aca="false">IF(A336="","",F335*$C$5/$C$7)</f>
        <v/>
      </c>
      <c r="F336" s="43" t="str">
        <f aca="false">IF(A336="","",MAX(0,F335-D336))</f>
        <v/>
      </c>
    </row>
    <row r="337" customFormat="false" ht="15" hidden="false" customHeight="false" outlineLevel="0" collapsed="false">
      <c r="A337" s="22" t="str">
        <f aca="false">IF(326&lt;=$E$5,326,"")</f>
        <v/>
      </c>
      <c r="B337" s="42" t="str">
        <f aca="false">IF(A337="","",IF($C$8="","",EDATE($C$8,(A337-1)*12/$C$7)))</f>
        <v/>
      </c>
      <c r="C337" s="43" t="str">
        <f aca="false">IF(A337="","",$E$4)</f>
        <v/>
      </c>
      <c r="D337" s="43" t="str">
        <f aca="false">IF(A337="","",C337-E337)</f>
        <v/>
      </c>
      <c r="E337" s="43" t="str">
        <f aca="false">IF(A337="","",F336*$C$5/$C$7)</f>
        <v/>
      </c>
      <c r="F337" s="43" t="str">
        <f aca="false">IF(A337="","",MAX(0,F336-D337))</f>
        <v/>
      </c>
    </row>
    <row r="338" customFormat="false" ht="15" hidden="false" customHeight="false" outlineLevel="0" collapsed="false">
      <c r="A338" s="22" t="str">
        <f aca="false">IF(327&lt;=$E$5,327,"")</f>
        <v/>
      </c>
      <c r="B338" s="42" t="str">
        <f aca="false">IF(A338="","",IF($C$8="","",EDATE($C$8,(A338-1)*12/$C$7)))</f>
        <v/>
      </c>
      <c r="C338" s="43" t="str">
        <f aca="false">IF(A338="","",$E$4)</f>
        <v/>
      </c>
      <c r="D338" s="43" t="str">
        <f aca="false">IF(A338="","",C338-E338)</f>
        <v/>
      </c>
      <c r="E338" s="43" t="str">
        <f aca="false">IF(A338="","",F337*$C$5/$C$7)</f>
        <v/>
      </c>
      <c r="F338" s="43" t="str">
        <f aca="false">IF(A338="","",MAX(0,F337-D338))</f>
        <v/>
      </c>
    </row>
    <row r="339" customFormat="false" ht="15" hidden="false" customHeight="false" outlineLevel="0" collapsed="false">
      <c r="A339" s="22" t="str">
        <f aca="false">IF(328&lt;=$E$5,328,"")</f>
        <v/>
      </c>
      <c r="B339" s="42" t="str">
        <f aca="false">IF(A339="","",IF($C$8="","",EDATE($C$8,(A339-1)*12/$C$7)))</f>
        <v/>
      </c>
      <c r="C339" s="43" t="str">
        <f aca="false">IF(A339="","",$E$4)</f>
        <v/>
      </c>
      <c r="D339" s="43" t="str">
        <f aca="false">IF(A339="","",C339-E339)</f>
        <v/>
      </c>
      <c r="E339" s="43" t="str">
        <f aca="false">IF(A339="","",F338*$C$5/$C$7)</f>
        <v/>
      </c>
      <c r="F339" s="43" t="str">
        <f aca="false">IF(A339="","",MAX(0,F338-D339))</f>
        <v/>
      </c>
    </row>
    <row r="340" customFormat="false" ht="15" hidden="false" customHeight="false" outlineLevel="0" collapsed="false">
      <c r="A340" s="22" t="str">
        <f aca="false">IF(329&lt;=$E$5,329,"")</f>
        <v/>
      </c>
      <c r="B340" s="42" t="str">
        <f aca="false">IF(A340="","",IF($C$8="","",EDATE($C$8,(A340-1)*12/$C$7)))</f>
        <v/>
      </c>
      <c r="C340" s="43" t="str">
        <f aca="false">IF(A340="","",$E$4)</f>
        <v/>
      </c>
      <c r="D340" s="43" t="str">
        <f aca="false">IF(A340="","",C340-E340)</f>
        <v/>
      </c>
      <c r="E340" s="43" t="str">
        <f aca="false">IF(A340="","",F339*$C$5/$C$7)</f>
        <v/>
      </c>
      <c r="F340" s="43" t="str">
        <f aca="false">IF(A340="","",MAX(0,F339-D340))</f>
        <v/>
      </c>
    </row>
    <row r="341" customFormat="false" ht="15" hidden="false" customHeight="false" outlineLevel="0" collapsed="false">
      <c r="A341" s="22" t="str">
        <f aca="false">IF(330&lt;=$E$5,330,"")</f>
        <v/>
      </c>
      <c r="B341" s="42" t="str">
        <f aca="false">IF(A341="","",IF($C$8="","",EDATE($C$8,(A341-1)*12/$C$7)))</f>
        <v/>
      </c>
      <c r="C341" s="43" t="str">
        <f aca="false">IF(A341="","",$E$4)</f>
        <v/>
      </c>
      <c r="D341" s="43" t="str">
        <f aca="false">IF(A341="","",C341-E341)</f>
        <v/>
      </c>
      <c r="E341" s="43" t="str">
        <f aca="false">IF(A341="","",F340*$C$5/$C$7)</f>
        <v/>
      </c>
      <c r="F341" s="43" t="str">
        <f aca="false">IF(A341="","",MAX(0,F340-D341))</f>
        <v/>
      </c>
    </row>
    <row r="342" customFormat="false" ht="15" hidden="false" customHeight="false" outlineLevel="0" collapsed="false">
      <c r="A342" s="22" t="str">
        <f aca="false">IF(331&lt;=$E$5,331,"")</f>
        <v/>
      </c>
      <c r="B342" s="42" t="str">
        <f aca="false">IF(A342="","",IF($C$8="","",EDATE($C$8,(A342-1)*12/$C$7)))</f>
        <v/>
      </c>
      <c r="C342" s="43" t="str">
        <f aca="false">IF(A342="","",$E$4)</f>
        <v/>
      </c>
      <c r="D342" s="43" t="str">
        <f aca="false">IF(A342="","",C342-E342)</f>
        <v/>
      </c>
      <c r="E342" s="43" t="str">
        <f aca="false">IF(A342="","",F341*$C$5/$C$7)</f>
        <v/>
      </c>
      <c r="F342" s="43" t="str">
        <f aca="false">IF(A342="","",MAX(0,F341-D342))</f>
        <v/>
      </c>
    </row>
    <row r="343" customFormat="false" ht="15" hidden="false" customHeight="false" outlineLevel="0" collapsed="false">
      <c r="A343" s="22" t="str">
        <f aca="false">IF(332&lt;=$E$5,332,"")</f>
        <v/>
      </c>
      <c r="B343" s="42" t="str">
        <f aca="false">IF(A343="","",IF($C$8="","",EDATE($C$8,(A343-1)*12/$C$7)))</f>
        <v/>
      </c>
      <c r="C343" s="43" t="str">
        <f aca="false">IF(A343="","",$E$4)</f>
        <v/>
      </c>
      <c r="D343" s="43" t="str">
        <f aca="false">IF(A343="","",C343-E343)</f>
        <v/>
      </c>
      <c r="E343" s="43" t="str">
        <f aca="false">IF(A343="","",F342*$C$5/$C$7)</f>
        <v/>
      </c>
      <c r="F343" s="43" t="str">
        <f aca="false">IF(A343="","",MAX(0,F342-D343))</f>
        <v/>
      </c>
    </row>
    <row r="344" customFormat="false" ht="15" hidden="false" customHeight="false" outlineLevel="0" collapsed="false">
      <c r="A344" s="22" t="str">
        <f aca="false">IF(333&lt;=$E$5,333,"")</f>
        <v/>
      </c>
      <c r="B344" s="42" t="str">
        <f aca="false">IF(A344="","",IF($C$8="","",EDATE($C$8,(A344-1)*12/$C$7)))</f>
        <v/>
      </c>
      <c r="C344" s="43" t="str">
        <f aca="false">IF(A344="","",$E$4)</f>
        <v/>
      </c>
      <c r="D344" s="43" t="str">
        <f aca="false">IF(A344="","",C344-E344)</f>
        <v/>
      </c>
      <c r="E344" s="43" t="str">
        <f aca="false">IF(A344="","",F343*$C$5/$C$7)</f>
        <v/>
      </c>
      <c r="F344" s="43" t="str">
        <f aca="false">IF(A344="","",MAX(0,F343-D344))</f>
        <v/>
      </c>
    </row>
    <row r="345" customFormat="false" ht="15" hidden="false" customHeight="false" outlineLevel="0" collapsed="false">
      <c r="A345" s="22" t="str">
        <f aca="false">IF(334&lt;=$E$5,334,"")</f>
        <v/>
      </c>
      <c r="B345" s="42" t="str">
        <f aca="false">IF(A345="","",IF($C$8="","",EDATE($C$8,(A345-1)*12/$C$7)))</f>
        <v/>
      </c>
      <c r="C345" s="43" t="str">
        <f aca="false">IF(A345="","",$E$4)</f>
        <v/>
      </c>
      <c r="D345" s="43" t="str">
        <f aca="false">IF(A345="","",C345-E345)</f>
        <v/>
      </c>
      <c r="E345" s="43" t="str">
        <f aca="false">IF(A345="","",F344*$C$5/$C$7)</f>
        <v/>
      </c>
      <c r="F345" s="43" t="str">
        <f aca="false">IF(A345="","",MAX(0,F344-D345))</f>
        <v/>
      </c>
    </row>
    <row r="346" customFormat="false" ht="15" hidden="false" customHeight="false" outlineLevel="0" collapsed="false">
      <c r="A346" s="22" t="str">
        <f aca="false">IF(335&lt;=$E$5,335,"")</f>
        <v/>
      </c>
      <c r="B346" s="42" t="str">
        <f aca="false">IF(A346="","",IF($C$8="","",EDATE($C$8,(A346-1)*12/$C$7)))</f>
        <v/>
      </c>
      <c r="C346" s="43" t="str">
        <f aca="false">IF(A346="","",$E$4)</f>
        <v/>
      </c>
      <c r="D346" s="43" t="str">
        <f aca="false">IF(A346="","",C346-E346)</f>
        <v/>
      </c>
      <c r="E346" s="43" t="str">
        <f aca="false">IF(A346="","",F345*$C$5/$C$7)</f>
        <v/>
      </c>
      <c r="F346" s="43" t="str">
        <f aca="false">IF(A346="","",MAX(0,F345-D346))</f>
        <v/>
      </c>
    </row>
    <row r="347" customFormat="false" ht="15" hidden="false" customHeight="false" outlineLevel="0" collapsed="false">
      <c r="A347" s="22" t="str">
        <f aca="false">IF(336&lt;=$E$5,336,"")</f>
        <v/>
      </c>
      <c r="B347" s="42" t="str">
        <f aca="false">IF(A347="","",IF($C$8="","",EDATE($C$8,(A347-1)*12/$C$7)))</f>
        <v/>
      </c>
      <c r="C347" s="43" t="str">
        <f aca="false">IF(A347="","",$E$4)</f>
        <v/>
      </c>
      <c r="D347" s="43" t="str">
        <f aca="false">IF(A347="","",C347-E347)</f>
        <v/>
      </c>
      <c r="E347" s="43" t="str">
        <f aca="false">IF(A347="","",F346*$C$5/$C$7)</f>
        <v/>
      </c>
      <c r="F347" s="43" t="str">
        <f aca="false">IF(A347="","",MAX(0,F346-D347))</f>
        <v/>
      </c>
    </row>
    <row r="348" customFormat="false" ht="15" hidden="false" customHeight="false" outlineLevel="0" collapsed="false">
      <c r="A348" s="22" t="str">
        <f aca="false">IF(337&lt;=$E$5,337,"")</f>
        <v/>
      </c>
      <c r="B348" s="42" t="str">
        <f aca="false">IF(A348="","",IF($C$8="","",EDATE($C$8,(A348-1)*12/$C$7)))</f>
        <v/>
      </c>
      <c r="C348" s="43" t="str">
        <f aca="false">IF(A348="","",$E$4)</f>
        <v/>
      </c>
      <c r="D348" s="43" t="str">
        <f aca="false">IF(A348="","",C348-E348)</f>
        <v/>
      </c>
      <c r="E348" s="43" t="str">
        <f aca="false">IF(A348="","",F347*$C$5/$C$7)</f>
        <v/>
      </c>
      <c r="F348" s="43" t="str">
        <f aca="false">IF(A348="","",MAX(0,F347-D348))</f>
        <v/>
      </c>
    </row>
    <row r="349" customFormat="false" ht="15" hidden="false" customHeight="false" outlineLevel="0" collapsed="false">
      <c r="A349" s="22" t="str">
        <f aca="false">IF(338&lt;=$E$5,338,"")</f>
        <v/>
      </c>
      <c r="B349" s="42" t="str">
        <f aca="false">IF(A349="","",IF($C$8="","",EDATE($C$8,(A349-1)*12/$C$7)))</f>
        <v/>
      </c>
      <c r="C349" s="43" t="str">
        <f aca="false">IF(A349="","",$E$4)</f>
        <v/>
      </c>
      <c r="D349" s="43" t="str">
        <f aca="false">IF(A349="","",C349-E349)</f>
        <v/>
      </c>
      <c r="E349" s="43" t="str">
        <f aca="false">IF(A349="","",F348*$C$5/$C$7)</f>
        <v/>
      </c>
      <c r="F349" s="43" t="str">
        <f aca="false">IF(A349="","",MAX(0,F348-D349))</f>
        <v/>
      </c>
    </row>
    <row r="350" customFormat="false" ht="15" hidden="false" customHeight="false" outlineLevel="0" collapsed="false">
      <c r="A350" s="22" t="str">
        <f aca="false">IF(339&lt;=$E$5,339,"")</f>
        <v/>
      </c>
      <c r="B350" s="42" t="str">
        <f aca="false">IF(A350="","",IF($C$8="","",EDATE($C$8,(A350-1)*12/$C$7)))</f>
        <v/>
      </c>
      <c r="C350" s="43" t="str">
        <f aca="false">IF(A350="","",$E$4)</f>
        <v/>
      </c>
      <c r="D350" s="43" t="str">
        <f aca="false">IF(A350="","",C350-E350)</f>
        <v/>
      </c>
      <c r="E350" s="43" t="str">
        <f aca="false">IF(A350="","",F349*$C$5/$C$7)</f>
        <v/>
      </c>
      <c r="F350" s="43" t="str">
        <f aca="false">IF(A350="","",MAX(0,F349-D350))</f>
        <v/>
      </c>
    </row>
    <row r="351" customFormat="false" ht="15" hidden="false" customHeight="false" outlineLevel="0" collapsed="false">
      <c r="A351" s="22" t="str">
        <f aca="false">IF(340&lt;=$E$5,340,"")</f>
        <v/>
      </c>
      <c r="B351" s="42" t="str">
        <f aca="false">IF(A351="","",IF($C$8="","",EDATE($C$8,(A351-1)*12/$C$7)))</f>
        <v/>
      </c>
      <c r="C351" s="43" t="str">
        <f aca="false">IF(A351="","",$E$4)</f>
        <v/>
      </c>
      <c r="D351" s="43" t="str">
        <f aca="false">IF(A351="","",C351-E351)</f>
        <v/>
      </c>
      <c r="E351" s="43" t="str">
        <f aca="false">IF(A351="","",F350*$C$5/$C$7)</f>
        <v/>
      </c>
      <c r="F351" s="43" t="str">
        <f aca="false">IF(A351="","",MAX(0,F350-D351))</f>
        <v/>
      </c>
    </row>
    <row r="352" customFormat="false" ht="15" hidden="false" customHeight="false" outlineLevel="0" collapsed="false">
      <c r="A352" s="22" t="str">
        <f aca="false">IF(341&lt;=$E$5,341,"")</f>
        <v/>
      </c>
      <c r="B352" s="42" t="str">
        <f aca="false">IF(A352="","",IF($C$8="","",EDATE($C$8,(A352-1)*12/$C$7)))</f>
        <v/>
      </c>
      <c r="C352" s="43" t="str">
        <f aca="false">IF(A352="","",$E$4)</f>
        <v/>
      </c>
      <c r="D352" s="43" t="str">
        <f aca="false">IF(A352="","",C352-E352)</f>
        <v/>
      </c>
      <c r="E352" s="43" t="str">
        <f aca="false">IF(A352="","",F351*$C$5/$C$7)</f>
        <v/>
      </c>
      <c r="F352" s="43" t="str">
        <f aca="false">IF(A352="","",MAX(0,F351-D352))</f>
        <v/>
      </c>
    </row>
    <row r="353" customFormat="false" ht="15" hidden="false" customHeight="false" outlineLevel="0" collapsed="false">
      <c r="A353" s="22" t="str">
        <f aca="false">IF(342&lt;=$E$5,342,"")</f>
        <v/>
      </c>
      <c r="B353" s="42" t="str">
        <f aca="false">IF(A353="","",IF($C$8="","",EDATE($C$8,(A353-1)*12/$C$7)))</f>
        <v/>
      </c>
      <c r="C353" s="43" t="str">
        <f aca="false">IF(A353="","",$E$4)</f>
        <v/>
      </c>
      <c r="D353" s="43" t="str">
        <f aca="false">IF(A353="","",C353-E353)</f>
        <v/>
      </c>
      <c r="E353" s="43" t="str">
        <f aca="false">IF(A353="","",F352*$C$5/$C$7)</f>
        <v/>
      </c>
      <c r="F353" s="43" t="str">
        <f aca="false">IF(A353="","",MAX(0,F352-D353))</f>
        <v/>
      </c>
    </row>
    <row r="354" customFormat="false" ht="15" hidden="false" customHeight="false" outlineLevel="0" collapsed="false">
      <c r="A354" s="22" t="str">
        <f aca="false">IF(343&lt;=$E$5,343,"")</f>
        <v/>
      </c>
      <c r="B354" s="42" t="str">
        <f aca="false">IF(A354="","",IF($C$8="","",EDATE($C$8,(A354-1)*12/$C$7)))</f>
        <v/>
      </c>
      <c r="C354" s="43" t="str">
        <f aca="false">IF(A354="","",$E$4)</f>
        <v/>
      </c>
      <c r="D354" s="43" t="str">
        <f aca="false">IF(A354="","",C354-E354)</f>
        <v/>
      </c>
      <c r="E354" s="43" t="str">
        <f aca="false">IF(A354="","",F353*$C$5/$C$7)</f>
        <v/>
      </c>
      <c r="F354" s="43" t="str">
        <f aca="false">IF(A354="","",MAX(0,F353-D354))</f>
        <v/>
      </c>
    </row>
    <row r="355" customFormat="false" ht="15" hidden="false" customHeight="false" outlineLevel="0" collapsed="false">
      <c r="A355" s="22" t="str">
        <f aca="false">IF(344&lt;=$E$5,344,"")</f>
        <v/>
      </c>
      <c r="B355" s="42" t="str">
        <f aca="false">IF(A355="","",IF($C$8="","",EDATE($C$8,(A355-1)*12/$C$7)))</f>
        <v/>
      </c>
      <c r="C355" s="43" t="str">
        <f aca="false">IF(A355="","",$E$4)</f>
        <v/>
      </c>
      <c r="D355" s="43" t="str">
        <f aca="false">IF(A355="","",C355-E355)</f>
        <v/>
      </c>
      <c r="E355" s="43" t="str">
        <f aca="false">IF(A355="","",F354*$C$5/$C$7)</f>
        <v/>
      </c>
      <c r="F355" s="43" t="str">
        <f aca="false">IF(A355="","",MAX(0,F354-D355))</f>
        <v/>
      </c>
    </row>
    <row r="356" customFormat="false" ht="15" hidden="false" customHeight="false" outlineLevel="0" collapsed="false">
      <c r="A356" s="22" t="str">
        <f aca="false">IF(345&lt;=$E$5,345,"")</f>
        <v/>
      </c>
      <c r="B356" s="42" t="str">
        <f aca="false">IF(A356="","",IF($C$8="","",EDATE($C$8,(A356-1)*12/$C$7)))</f>
        <v/>
      </c>
      <c r="C356" s="43" t="str">
        <f aca="false">IF(A356="","",$E$4)</f>
        <v/>
      </c>
      <c r="D356" s="43" t="str">
        <f aca="false">IF(A356="","",C356-E356)</f>
        <v/>
      </c>
      <c r="E356" s="43" t="str">
        <f aca="false">IF(A356="","",F355*$C$5/$C$7)</f>
        <v/>
      </c>
      <c r="F356" s="43" t="str">
        <f aca="false">IF(A356="","",MAX(0,F355-D356))</f>
        <v/>
      </c>
    </row>
    <row r="357" customFormat="false" ht="15" hidden="false" customHeight="false" outlineLevel="0" collapsed="false">
      <c r="A357" s="22" t="str">
        <f aca="false">IF(346&lt;=$E$5,346,"")</f>
        <v/>
      </c>
      <c r="B357" s="42" t="str">
        <f aca="false">IF(A357="","",IF($C$8="","",EDATE($C$8,(A357-1)*12/$C$7)))</f>
        <v/>
      </c>
      <c r="C357" s="43" t="str">
        <f aca="false">IF(A357="","",$E$4)</f>
        <v/>
      </c>
      <c r="D357" s="43" t="str">
        <f aca="false">IF(A357="","",C357-E357)</f>
        <v/>
      </c>
      <c r="E357" s="43" t="str">
        <f aca="false">IF(A357="","",F356*$C$5/$C$7)</f>
        <v/>
      </c>
      <c r="F357" s="43" t="str">
        <f aca="false">IF(A357="","",MAX(0,F356-D357))</f>
        <v/>
      </c>
    </row>
    <row r="358" customFormat="false" ht="15" hidden="false" customHeight="false" outlineLevel="0" collapsed="false">
      <c r="A358" s="22" t="str">
        <f aca="false">IF(347&lt;=$E$5,347,"")</f>
        <v/>
      </c>
      <c r="B358" s="42" t="str">
        <f aca="false">IF(A358="","",IF($C$8="","",EDATE($C$8,(A358-1)*12/$C$7)))</f>
        <v/>
      </c>
      <c r="C358" s="43" t="str">
        <f aca="false">IF(A358="","",$E$4)</f>
        <v/>
      </c>
      <c r="D358" s="43" t="str">
        <f aca="false">IF(A358="","",C358-E358)</f>
        <v/>
      </c>
      <c r="E358" s="43" t="str">
        <f aca="false">IF(A358="","",F357*$C$5/$C$7)</f>
        <v/>
      </c>
      <c r="F358" s="43" t="str">
        <f aca="false">IF(A358="","",MAX(0,F357-D358))</f>
        <v/>
      </c>
    </row>
    <row r="359" customFormat="false" ht="15" hidden="false" customHeight="false" outlineLevel="0" collapsed="false">
      <c r="A359" s="22" t="str">
        <f aca="false">IF(348&lt;=$E$5,348,"")</f>
        <v/>
      </c>
      <c r="B359" s="42" t="str">
        <f aca="false">IF(A359="","",IF($C$8="","",EDATE($C$8,(A359-1)*12/$C$7)))</f>
        <v/>
      </c>
      <c r="C359" s="43" t="str">
        <f aca="false">IF(A359="","",$E$4)</f>
        <v/>
      </c>
      <c r="D359" s="43" t="str">
        <f aca="false">IF(A359="","",C359-E359)</f>
        <v/>
      </c>
      <c r="E359" s="43" t="str">
        <f aca="false">IF(A359="","",F358*$C$5/$C$7)</f>
        <v/>
      </c>
      <c r="F359" s="43" t="str">
        <f aca="false">IF(A359="","",MAX(0,F358-D359))</f>
        <v/>
      </c>
    </row>
    <row r="360" customFormat="false" ht="15" hidden="false" customHeight="false" outlineLevel="0" collapsed="false">
      <c r="A360" s="22" t="str">
        <f aca="false">IF(349&lt;=$E$5,349,"")</f>
        <v/>
      </c>
      <c r="B360" s="42" t="str">
        <f aca="false">IF(A360="","",IF($C$8="","",EDATE($C$8,(A360-1)*12/$C$7)))</f>
        <v/>
      </c>
      <c r="C360" s="43" t="str">
        <f aca="false">IF(A360="","",$E$4)</f>
        <v/>
      </c>
      <c r="D360" s="43" t="str">
        <f aca="false">IF(A360="","",C360-E360)</f>
        <v/>
      </c>
      <c r="E360" s="43" t="str">
        <f aca="false">IF(A360="","",F359*$C$5/$C$7)</f>
        <v/>
      </c>
      <c r="F360" s="43" t="str">
        <f aca="false">IF(A360="","",MAX(0,F359-D360))</f>
        <v/>
      </c>
    </row>
    <row r="361" customFormat="false" ht="15" hidden="false" customHeight="false" outlineLevel="0" collapsed="false">
      <c r="A361" s="22" t="str">
        <f aca="false">IF(350&lt;=$E$5,350,"")</f>
        <v/>
      </c>
      <c r="B361" s="42" t="str">
        <f aca="false">IF(A361="","",IF($C$8="","",EDATE($C$8,(A361-1)*12/$C$7)))</f>
        <v/>
      </c>
      <c r="C361" s="43" t="str">
        <f aca="false">IF(A361="","",$E$4)</f>
        <v/>
      </c>
      <c r="D361" s="43" t="str">
        <f aca="false">IF(A361="","",C361-E361)</f>
        <v/>
      </c>
      <c r="E361" s="43" t="str">
        <f aca="false">IF(A361="","",F360*$C$5/$C$7)</f>
        <v/>
      </c>
      <c r="F361" s="43" t="str">
        <f aca="false">IF(A361="","",MAX(0,F360-D361))</f>
        <v/>
      </c>
    </row>
    <row r="362" customFormat="false" ht="15" hidden="false" customHeight="false" outlineLevel="0" collapsed="false">
      <c r="A362" s="22" t="str">
        <f aca="false">IF(351&lt;=$E$5,351,"")</f>
        <v/>
      </c>
      <c r="B362" s="42" t="str">
        <f aca="false">IF(A362="","",IF($C$8="","",EDATE($C$8,(A362-1)*12/$C$7)))</f>
        <v/>
      </c>
      <c r="C362" s="43" t="str">
        <f aca="false">IF(A362="","",$E$4)</f>
        <v/>
      </c>
      <c r="D362" s="43" t="str">
        <f aca="false">IF(A362="","",C362-E362)</f>
        <v/>
      </c>
      <c r="E362" s="43" t="str">
        <f aca="false">IF(A362="","",F361*$C$5/$C$7)</f>
        <v/>
      </c>
      <c r="F362" s="43" t="str">
        <f aca="false">IF(A362="","",MAX(0,F361-D362))</f>
        <v/>
      </c>
    </row>
    <row r="363" customFormat="false" ht="15" hidden="false" customHeight="false" outlineLevel="0" collapsed="false">
      <c r="A363" s="22" t="str">
        <f aca="false">IF(352&lt;=$E$5,352,"")</f>
        <v/>
      </c>
      <c r="B363" s="42" t="str">
        <f aca="false">IF(A363="","",IF($C$8="","",EDATE($C$8,(A363-1)*12/$C$7)))</f>
        <v/>
      </c>
      <c r="C363" s="43" t="str">
        <f aca="false">IF(A363="","",$E$4)</f>
        <v/>
      </c>
      <c r="D363" s="43" t="str">
        <f aca="false">IF(A363="","",C363-E363)</f>
        <v/>
      </c>
      <c r="E363" s="43" t="str">
        <f aca="false">IF(A363="","",F362*$C$5/$C$7)</f>
        <v/>
      </c>
      <c r="F363" s="43" t="str">
        <f aca="false">IF(A363="","",MAX(0,F362-D363))</f>
        <v/>
      </c>
    </row>
    <row r="364" customFormat="false" ht="15" hidden="false" customHeight="false" outlineLevel="0" collapsed="false">
      <c r="A364" s="22" t="str">
        <f aca="false">IF(353&lt;=$E$5,353,"")</f>
        <v/>
      </c>
      <c r="B364" s="42" t="str">
        <f aca="false">IF(A364="","",IF($C$8="","",EDATE($C$8,(A364-1)*12/$C$7)))</f>
        <v/>
      </c>
      <c r="C364" s="43" t="str">
        <f aca="false">IF(A364="","",$E$4)</f>
        <v/>
      </c>
      <c r="D364" s="43" t="str">
        <f aca="false">IF(A364="","",C364-E364)</f>
        <v/>
      </c>
      <c r="E364" s="43" t="str">
        <f aca="false">IF(A364="","",F363*$C$5/$C$7)</f>
        <v/>
      </c>
      <c r="F364" s="43" t="str">
        <f aca="false">IF(A364="","",MAX(0,F363-D364))</f>
        <v/>
      </c>
    </row>
    <row r="365" customFormat="false" ht="15" hidden="false" customHeight="false" outlineLevel="0" collapsed="false">
      <c r="A365" s="22" t="str">
        <f aca="false">IF(354&lt;=$E$5,354,"")</f>
        <v/>
      </c>
      <c r="B365" s="42" t="str">
        <f aca="false">IF(A365="","",IF($C$8="","",EDATE($C$8,(A365-1)*12/$C$7)))</f>
        <v/>
      </c>
      <c r="C365" s="43" t="str">
        <f aca="false">IF(A365="","",$E$4)</f>
        <v/>
      </c>
      <c r="D365" s="43" t="str">
        <f aca="false">IF(A365="","",C365-E365)</f>
        <v/>
      </c>
      <c r="E365" s="43" t="str">
        <f aca="false">IF(A365="","",F364*$C$5/$C$7)</f>
        <v/>
      </c>
      <c r="F365" s="43" t="str">
        <f aca="false">IF(A365="","",MAX(0,F364-D365))</f>
        <v/>
      </c>
    </row>
    <row r="366" customFormat="false" ht="15" hidden="false" customHeight="false" outlineLevel="0" collapsed="false">
      <c r="A366" s="22" t="str">
        <f aca="false">IF(355&lt;=$E$5,355,"")</f>
        <v/>
      </c>
      <c r="B366" s="42" t="str">
        <f aca="false">IF(A366="","",IF($C$8="","",EDATE($C$8,(A366-1)*12/$C$7)))</f>
        <v/>
      </c>
      <c r="C366" s="43" t="str">
        <f aca="false">IF(A366="","",$E$4)</f>
        <v/>
      </c>
      <c r="D366" s="43" t="str">
        <f aca="false">IF(A366="","",C366-E366)</f>
        <v/>
      </c>
      <c r="E366" s="43" t="str">
        <f aca="false">IF(A366="","",F365*$C$5/$C$7)</f>
        <v/>
      </c>
      <c r="F366" s="43" t="str">
        <f aca="false">IF(A366="","",MAX(0,F365-D366))</f>
        <v/>
      </c>
    </row>
    <row r="367" customFormat="false" ht="15" hidden="false" customHeight="false" outlineLevel="0" collapsed="false">
      <c r="A367" s="22" t="str">
        <f aca="false">IF(356&lt;=$E$5,356,"")</f>
        <v/>
      </c>
      <c r="B367" s="42" t="str">
        <f aca="false">IF(A367="","",IF($C$8="","",EDATE($C$8,(A367-1)*12/$C$7)))</f>
        <v/>
      </c>
      <c r="C367" s="43" t="str">
        <f aca="false">IF(A367="","",$E$4)</f>
        <v/>
      </c>
      <c r="D367" s="43" t="str">
        <f aca="false">IF(A367="","",C367-E367)</f>
        <v/>
      </c>
      <c r="E367" s="43" t="str">
        <f aca="false">IF(A367="","",F366*$C$5/$C$7)</f>
        <v/>
      </c>
      <c r="F367" s="43" t="str">
        <f aca="false">IF(A367="","",MAX(0,F366-D367))</f>
        <v/>
      </c>
    </row>
    <row r="368" customFormat="false" ht="15" hidden="false" customHeight="false" outlineLevel="0" collapsed="false">
      <c r="A368" s="22" t="str">
        <f aca="false">IF(357&lt;=$E$5,357,"")</f>
        <v/>
      </c>
      <c r="B368" s="42" t="str">
        <f aca="false">IF(A368="","",IF($C$8="","",EDATE($C$8,(A368-1)*12/$C$7)))</f>
        <v/>
      </c>
      <c r="C368" s="43" t="str">
        <f aca="false">IF(A368="","",$E$4)</f>
        <v/>
      </c>
      <c r="D368" s="43" t="str">
        <f aca="false">IF(A368="","",C368-E368)</f>
        <v/>
      </c>
      <c r="E368" s="43" t="str">
        <f aca="false">IF(A368="","",F367*$C$5/$C$7)</f>
        <v/>
      </c>
      <c r="F368" s="43" t="str">
        <f aca="false">IF(A368="","",MAX(0,F367-D368))</f>
        <v/>
      </c>
    </row>
    <row r="369" customFormat="false" ht="15" hidden="false" customHeight="false" outlineLevel="0" collapsed="false">
      <c r="A369" s="22" t="str">
        <f aca="false">IF(358&lt;=$E$5,358,"")</f>
        <v/>
      </c>
      <c r="B369" s="42" t="str">
        <f aca="false">IF(A369="","",IF($C$8="","",EDATE($C$8,(A369-1)*12/$C$7)))</f>
        <v/>
      </c>
      <c r="C369" s="43" t="str">
        <f aca="false">IF(A369="","",$E$4)</f>
        <v/>
      </c>
      <c r="D369" s="43" t="str">
        <f aca="false">IF(A369="","",C369-E369)</f>
        <v/>
      </c>
      <c r="E369" s="43" t="str">
        <f aca="false">IF(A369="","",F368*$C$5/$C$7)</f>
        <v/>
      </c>
      <c r="F369" s="43" t="str">
        <f aca="false">IF(A369="","",MAX(0,F368-D369))</f>
        <v/>
      </c>
    </row>
    <row r="370" customFormat="false" ht="15" hidden="false" customHeight="false" outlineLevel="0" collapsed="false">
      <c r="A370" s="22" t="str">
        <f aca="false">IF(359&lt;=$E$5,359,"")</f>
        <v/>
      </c>
      <c r="B370" s="42" t="str">
        <f aca="false">IF(A370="","",IF($C$8="","",EDATE($C$8,(A370-1)*12/$C$7)))</f>
        <v/>
      </c>
      <c r="C370" s="43" t="str">
        <f aca="false">IF(A370="","",$E$4)</f>
        <v/>
      </c>
      <c r="D370" s="43" t="str">
        <f aca="false">IF(A370="","",C370-E370)</f>
        <v/>
      </c>
      <c r="E370" s="43" t="str">
        <f aca="false">IF(A370="","",F369*$C$5/$C$7)</f>
        <v/>
      </c>
      <c r="F370" s="43" t="str">
        <f aca="false">IF(A370="","",MAX(0,F369-D370))</f>
        <v/>
      </c>
    </row>
    <row r="371" customFormat="false" ht="15" hidden="false" customHeight="false" outlineLevel="0" collapsed="false">
      <c r="A371" s="22" t="str">
        <f aca="false">IF(360&lt;=$E$5,360,"")</f>
        <v/>
      </c>
      <c r="B371" s="42" t="str">
        <f aca="false">IF(A371="","",IF($C$8="","",EDATE($C$8,(A371-1)*12/$C$7)))</f>
        <v/>
      </c>
      <c r="C371" s="43" t="str">
        <f aca="false">IF(A371="","",$E$4)</f>
        <v/>
      </c>
      <c r="D371" s="43" t="str">
        <f aca="false">IF(A371="","",C371-E371)</f>
        <v/>
      </c>
      <c r="E371" s="43" t="str">
        <f aca="false">IF(A371="","",F370*$C$5/$C$7)</f>
        <v/>
      </c>
      <c r="F371" s="43" t="str">
        <f aca="false">IF(A371="","",MAX(0,F370-D371))</f>
        <v/>
      </c>
    </row>
    <row r="373" customFormat="false" ht="27.75" hidden="false" customHeight="true" outlineLevel="0" collapsed="false">
      <c r="A373" s="7" t="s">
        <v>20</v>
      </c>
      <c r="B373" s="7"/>
      <c r="C373" s="7"/>
      <c r="D373" s="7"/>
      <c r="E373" s="7"/>
      <c r="F373" s="7"/>
    </row>
  </sheetData>
  <sheetProtection sheet="true" password="9abc" formatColumns="false"/>
  <mergeCells count="10">
    <mergeCell ref="A1:F1"/>
    <mergeCell ref="A2:F2"/>
    <mergeCell ref="A3:F3"/>
    <mergeCell ref="A4:B4"/>
    <mergeCell ref="A5:B5"/>
    <mergeCell ref="A6:B6"/>
    <mergeCell ref="A7:B7"/>
    <mergeCell ref="A8:B8"/>
    <mergeCell ref="A9:F9"/>
    <mergeCell ref="A373:F373"/>
  </mergeCells>
  <dataValidations count="2">
    <dataValidation allowBlank="false" errorStyle="stop" operator="between" showDropDown="false" showErrorMessage="false" showInputMessage="false" sqref="C7" type="list">
      <formula1>"1,2,4,12"</formula1>
      <formula2>0</formula2>
    </dataValidation>
    <dataValidation allowBlank="false" error="المدة بين 1 و30 سنة" errorStyle="stop" operator="between" showDropDown="false" showErrorMessage="true" showInputMessage="false" sqref="C6" type="whole">
      <formula1>1</formula1>
      <formula2>30</formula2>
    </dataValidation>
  </dataValidations>
  <printOptions headings="false" gridLines="false" gridLinesSet="true" horizontalCentered="true" verticalCentered="false"/>
  <pageMargins left="0.75" right="0.75" top="1" bottom="1" header="0.511811023622047" footer="0.511811023622047"/>
  <pageSetup paperSize="9" scale="100" fitToWidth="1" fitToHeight="0" pageOrder="downThenOver" orientation="portrait" blackAndWhite="false" draft="false" cellComments="non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E24"/>
  <sheetViews>
    <sheetView showFormulas="false" showGridLines="false" showRowColHeaders="true" showZeros="true" rightToLeft="tru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4"/>
    <col collapsed="false" customWidth="true" hidden="false" outlineLevel="0" max="2" min="2" style="0" width="18"/>
    <col collapsed="false" customWidth="true" hidden="false" outlineLevel="0" max="3" min="3" style="0" width="4"/>
    <col collapsed="false" customWidth="true" hidden="false" outlineLevel="0" max="4" min="4" style="0" width="44"/>
    <col collapsed="false" customWidth="true" hidden="false" outlineLevel="0" max="5" min="5" style="0" width="18"/>
  </cols>
  <sheetData>
    <row r="1" customFormat="false" ht="33.75" hidden="false" customHeight="true" outlineLevel="0" collapsed="false">
      <c r="A1" s="1" t="s">
        <v>113</v>
      </c>
      <c r="B1" s="1"/>
      <c r="C1" s="1"/>
      <c r="D1" s="1"/>
      <c r="E1" s="1"/>
    </row>
    <row r="2" customFormat="false" ht="15" hidden="false" customHeight="true" outlineLevel="0" collapsed="false">
      <c r="A2" s="2" t="s">
        <v>1</v>
      </c>
      <c r="B2" s="2"/>
      <c r="C2" s="2"/>
      <c r="D2" s="2"/>
      <c r="E2" s="2"/>
    </row>
    <row r="3" customFormat="false" ht="15" hidden="false" customHeight="true" outlineLevel="0" collapsed="false">
      <c r="A3" s="8" t="s">
        <v>22</v>
      </c>
      <c r="B3" s="8"/>
      <c r="C3" s="8"/>
      <c r="D3" s="8"/>
      <c r="E3" s="8"/>
    </row>
    <row r="5" customFormat="false" ht="19.5" hidden="false" customHeight="true" outlineLevel="0" collapsed="false">
      <c r="A5" s="9" t="s">
        <v>114</v>
      </c>
      <c r="B5" s="9"/>
      <c r="D5" s="9" t="s">
        <v>115</v>
      </c>
      <c r="E5" s="9"/>
    </row>
    <row r="6" customFormat="false" ht="15" hidden="false" customHeight="false" outlineLevel="0" collapsed="false">
      <c r="A6" s="10" t="s">
        <v>116</v>
      </c>
      <c r="B6" s="18" t="n">
        <v>100000</v>
      </c>
      <c r="D6" s="10" t="s">
        <v>117</v>
      </c>
      <c r="E6" s="18" t="n">
        <v>100000</v>
      </c>
    </row>
    <row r="7" customFormat="false" ht="15" hidden="false" customHeight="false" outlineLevel="0" collapsed="false">
      <c r="A7" s="10" t="s">
        <v>118</v>
      </c>
      <c r="B7" s="14" t="n">
        <v>0.08</v>
      </c>
      <c r="D7" s="10" t="s">
        <v>118</v>
      </c>
      <c r="E7" s="14" t="n">
        <v>0.08</v>
      </c>
    </row>
    <row r="8" customFormat="false" ht="15" hidden="false" customHeight="false" outlineLevel="0" collapsed="false">
      <c r="A8" s="10" t="s">
        <v>119</v>
      </c>
      <c r="B8" s="16" t="n">
        <v>5</v>
      </c>
      <c r="D8" s="10" t="s">
        <v>119</v>
      </c>
      <c r="E8" s="16" t="n">
        <v>5</v>
      </c>
    </row>
    <row r="9" customFormat="false" ht="15" hidden="false" customHeight="false" outlineLevel="0" collapsed="false">
      <c r="A9" s="12" t="s">
        <v>120</v>
      </c>
      <c r="B9" s="44" t="n">
        <f aca="false">B6/(1+B7)^B8</f>
        <v>68058.3197033753</v>
      </c>
      <c r="D9" s="12" t="s">
        <v>121</v>
      </c>
      <c r="E9" s="44" t="n">
        <f aca="false">E6*(1+E7)^E8</f>
        <v>146932.80768</v>
      </c>
    </row>
    <row r="11" customFormat="false" ht="19.5" hidden="false" customHeight="true" outlineLevel="0" collapsed="false">
      <c r="A11" s="9" t="s">
        <v>122</v>
      </c>
      <c r="B11" s="9"/>
      <c r="D11" s="9" t="s">
        <v>123</v>
      </c>
      <c r="E11" s="9"/>
    </row>
    <row r="12" customFormat="false" ht="15" hidden="false" customHeight="false" outlineLevel="0" collapsed="false">
      <c r="A12" s="10" t="s">
        <v>124</v>
      </c>
      <c r="B12" s="18" t="n">
        <v>20000</v>
      </c>
      <c r="D12" s="10" t="s">
        <v>124</v>
      </c>
      <c r="E12" s="18" t="n">
        <v>20000</v>
      </c>
    </row>
    <row r="13" customFormat="false" ht="15" hidden="false" customHeight="false" outlineLevel="0" collapsed="false">
      <c r="A13" s="10" t="s">
        <v>118</v>
      </c>
      <c r="B13" s="14" t="n">
        <v>0.08</v>
      </c>
      <c r="D13" s="10" t="s">
        <v>118</v>
      </c>
      <c r="E13" s="14" t="n">
        <v>0.08</v>
      </c>
    </row>
    <row r="14" customFormat="false" ht="15" hidden="false" customHeight="false" outlineLevel="0" collapsed="false">
      <c r="A14" s="10" t="s">
        <v>119</v>
      </c>
      <c r="B14" s="16" t="n">
        <v>10</v>
      </c>
      <c r="D14" s="10" t="s">
        <v>119</v>
      </c>
      <c r="E14" s="16" t="n">
        <v>10</v>
      </c>
    </row>
    <row r="15" customFormat="false" ht="15" hidden="false" customHeight="false" outlineLevel="0" collapsed="false">
      <c r="A15" s="12" t="s">
        <v>125</v>
      </c>
      <c r="B15" s="44" t="n">
        <f aca="false">PV(B13,B14,-B12)</f>
        <v>134201.627978829</v>
      </c>
      <c r="D15" s="12" t="s">
        <v>126</v>
      </c>
      <c r="E15" s="44" t="n">
        <f aca="false">FV(E13,E14,-E12)</f>
        <v>289731.249318197</v>
      </c>
    </row>
    <row r="17" customFormat="false" ht="19.5" hidden="false" customHeight="true" outlineLevel="0" collapsed="false">
      <c r="A17" s="9" t="s">
        <v>127</v>
      </c>
      <c r="B17" s="9"/>
    </row>
    <row r="18" customFormat="false" ht="15" hidden="false" customHeight="false" outlineLevel="0" collapsed="false">
      <c r="A18" s="10" t="s">
        <v>128</v>
      </c>
      <c r="B18" s="18" t="n">
        <v>500000</v>
      </c>
    </row>
    <row r="19" customFormat="false" ht="15" hidden="false" customHeight="false" outlineLevel="0" collapsed="false">
      <c r="A19" s="10" t="s">
        <v>129</v>
      </c>
      <c r="B19" s="14" t="n">
        <v>0.05</v>
      </c>
    </row>
    <row r="20" customFormat="false" ht="15" hidden="false" customHeight="false" outlineLevel="0" collapsed="false">
      <c r="A20" s="10" t="s">
        <v>119</v>
      </c>
      <c r="B20" s="16" t="n">
        <v>7</v>
      </c>
    </row>
    <row r="21" customFormat="false" ht="15" hidden="false" customHeight="false" outlineLevel="0" collapsed="false">
      <c r="A21" s="12" t="s">
        <v>130</v>
      </c>
      <c r="B21" s="44" t="n">
        <f aca="false">PMT(B19/12,B20*12,0,-B18)</f>
        <v>4983.62120262017</v>
      </c>
    </row>
    <row r="24" customFormat="false" ht="27.75" hidden="false" customHeight="true" outlineLevel="0" collapsed="false">
      <c r="A24" s="7" t="s">
        <v>20</v>
      </c>
      <c r="B24" s="7"/>
      <c r="C24" s="7"/>
      <c r="D24" s="7"/>
      <c r="E24" s="7"/>
    </row>
  </sheetData>
  <sheetProtection sheet="true" password="9abc" formatColumns="false"/>
  <mergeCells count="9">
    <mergeCell ref="A1:E1"/>
    <mergeCell ref="A2:E2"/>
    <mergeCell ref="A3:E3"/>
    <mergeCell ref="A5:B5"/>
    <mergeCell ref="D5:E5"/>
    <mergeCell ref="A11:B11"/>
    <mergeCell ref="D11:E11"/>
    <mergeCell ref="A17:B17"/>
    <mergeCell ref="A24:E24"/>
  </mergeCells>
  <printOptions headings="false" gridLines="false" gridLinesSet="true" horizontalCentered="true" verticalCentered="false"/>
  <pageMargins left="0.75" right="0.75" top="1" bottom="1" header="0.511811023622047" footer="0.511811023622047"/>
  <pageSetup paperSize="9" scale="100" fitToWidth="1" fitToHeight="0"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2026-11-08T11:34:31Z</dcterms:created>
  <dc:creator>شركة جوجان لخدمات الأعمال – googanconsult.com</dc:creator>
  <dc:description>© شركة جوجان لخدمات الأعمال – googanconsult.com – موسوعة جوجان bloggoogan.com</dc:description>
  <cp:keywords>googanconsult.com bloggoogan.com</cp:keywords>
  <dc:language>en-US</dc:language>
  <cp:lastModifiedBy>شركة جوجان لخدمات الأعمال – googanconsult.com</cp:lastModifiedBy>
  <dcterms:modified xsi:type="dcterms:W3CDTF">2026-11-08T11:34:31Z</dcterms:modified>
  <cp:revision>0</cp:revision>
  <dc:subject/>
  <dc:title>حاسبة تقييم المشاريع الاستثمارية – جوجان</dc:title>
</cp:coreProperties>
</file>

<file path=docProps/custom.xml><?xml version="1.0" encoding="utf-8"?>
<Properties xmlns="http://schemas.openxmlformats.org/officeDocument/2006/custom-properties" xmlns:vt="http://schemas.openxmlformats.org/officeDocument/2006/docPropsVTypes"/>
</file>